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125" windowHeight="6330" tabRatio="601" activeTab="0"/>
  </bookViews>
  <sheets>
    <sheet name="Received-計數" sheetId="1" r:id="rId1"/>
  </sheets>
  <definedNames>
    <definedName name="_xlnm.Print_Area" localSheetId="0">'Received-計數'!$A$1:$U$120</definedName>
  </definedNames>
  <calcPr calcMode="manual" fullCalcOnLoad="1"/>
</workbook>
</file>

<file path=xl/comments1.xml><?xml version="1.0" encoding="utf-8"?>
<comments xmlns="http://schemas.openxmlformats.org/spreadsheetml/2006/main">
  <authors>
    <author>PYN</author>
    <author>PYNEH</author>
    <author>leo</author>
  </authors>
  <commentList>
    <comment ref="C30" authorId="0">
      <text>
        <r>
          <rPr>
            <sz val="9"/>
            <rFont val="新細明體"/>
            <family val="1"/>
          </rPr>
          <t>如只用作湯料但沒有吃</t>
        </r>
        <r>
          <rPr>
            <sz val="9"/>
            <rFont val="Times New Roman"/>
            <family val="1"/>
          </rPr>
          <t>-</t>
        </r>
        <r>
          <rPr>
            <sz val="9"/>
            <rFont val="新細明體"/>
            <family val="1"/>
          </rPr>
          <t xml:space="preserve">不用記錄
</t>
        </r>
      </text>
    </comment>
    <comment ref="C36" authorId="0">
      <text>
        <r>
          <rPr>
            <sz val="9"/>
            <rFont val="細明體"/>
            <family val="3"/>
          </rPr>
          <t>烹調法</t>
        </r>
        <r>
          <rPr>
            <sz val="9"/>
            <rFont val="Times New Roman"/>
            <family val="1"/>
          </rPr>
          <t>: (</t>
        </r>
        <r>
          <rPr>
            <sz val="9"/>
            <rFont val="細明體"/>
            <family val="3"/>
          </rPr>
          <t>炒菜</t>
        </r>
        <r>
          <rPr>
            <sz val="9"/>
            <rFont val="Times New Roman"/>
            <family val="1"/>
          </rPr>
          <t>)</t>
        </r>
        <r>
          <rPr>
            <sz val="9"/>
            <rFont val="細明體"/>
            <family val="3"/>
          </rPr>
          <t>不用計算</t>
        </r>
      </text>
    </comment>
    <comment ref="C37" authorId="0">
      <text>
        <r>
          <rPr>
            <sz val="9"/>
            <rFont val="Times New Roman"/>
            <family val="1"/>
          </rPr>
          <t>1</t>
        </r>
        <r>
          <rPr>
            <sz val="9"/>
            <rFont val="新細明體"/>
            <family val="1"/>
          </rPr>
          <t>個煎</t>
        </r>
        <r>
          <rPr>
            <sz val="9"/>
            <rFont val="Times New Roman"/>
            <family val="1"/>
          </rPr>
          <t>/</t>
        </r>
        <r>
          <rPr>
            <sz val="9"/>
            <rFont val="新細明體"/>
            <family val="1"/>
          </rPr>
          <t>炸的</t>
        </r>
        <r>
          <rPr>
            <sz val="9"/>
            <rFont val="Times New Roman"/>
            <family val="1"/>
          </rPr>
          <t>food item</t>
        </r>
        <r>
          <rPr>
            <sz val="9"/>
            <rFont val="新細明體"/>
            <family val="1"/>
          </rPr>
          <t>亦當１次記錄</t>
        </r>
      </text>
    </comment>
    <comment ref="C102" authorId="0">
      <text>
        <r>
          <rPr>
            <sz val="9"/>
            <rFont val="新細明體"/>
            <family val="1"/>
          </rPr>
          <t>如</t>
        </r>
        <r>
          <rPr>
            <sz val="9"/>
            <rFont val="Times New Roman"/>
            <family val="1"/>
          </rPr>
          <t>patient</t>
        </r>
        <r>
          <rPr>
            <sz val="9"/>
            <rFont val="新細明體"/>
            <family val="1"/>
          </rPr>
          <t>回答所吃的肉類天天不同</t>
        </r>
        <r>
          <rPr>
            <sz val="9"/>
            <rFont val="Times New Roman"/>
            <family val="1"/>
          </rPr>
          <t>-</t>
        </r>
        <r>
          <rPr>
            <sz val="9"/>
            <rFont val="新細明體"/>
            <family val="1"/>
          </rPr>
          <t>例如</t>
        </r>
        <r>
          <rPr>
            <sz val="9"/>
            <rFont val="Times New Roman"/>
            <family val="1"/>
          </rPr>
          <t>:</t>
        </r>
        <r>
          <rPr>
            <sz val="9"/>
            <rFont val="新細明體"/>
            <family val="1"/>
          </rPr>
          <t>星期一吃去皮雞</t>
        </r>
        <r>
          <rPr>
            <sz val="9"/>
            <rFont val="Times New Roman"/>
            <family val="1"/>
          </rPr>
          <t>3</t>
        </r>
        <r>
          <rPr>
            <sz val="9"/>
            <rFont val="新細明體"/>
            <family val="1"/>
          </rPr>
          <t>両</t>
        </r>
        <r>
          <rPr>
            <sz val="9"/>
            <rFont val="Times New Roman"/>
            <family val="1"/>
          </rPr>
          <t>;</t>
        </r>
        <r>
          <rPr>
            <sz val="9"/>
            <rFont val="新細明體"/>
            <family val="1"/>
          </rPr>
          <t>星期二</t>
        </r>
        <r>
          <rPr>
            <sz val="9"/>
            <rFont val="Times New Roman"/>
            <family val="1"/>
          </rPr>
          <t>,</t>
        </r>
        <r>
          <rPr>
            <sz val="9"/>
            <rFont val="新細明體"/>
            <family val="1"/>
          </rPr>
          <t>吃排肉</t>
        </r>
        <r>
          <rPr>
            <sz val="9"/>
            <rFont val="Times New Roman"/>
            <family val="1"/>
          </rPr>
          <t>3</t>
        </r>
        <r>
          <rPr>
            <sz val="9"/>
            <rFont val="新細明體"/>
            <family val="1"/>
          </rPr>
          <t>両</t>
        </r>
        <r>
          <rPr>
            <sz val="9"/>
            <rFont val="Times New Roman"/>
            <family val="1"/>
          </rPr>
          <t>.---</t>
        </r>
        <r>
          <rPr>
            <sz val="9"/>
            <rFont val="新細明體"/>
            <family val="1"/>
          </rPr>
          <t>請記錄</t>
        </r>
        <r>
          <rPr>
            <sz val="9"/>
            <rFont val="Times New Roman"/>
            <family val="1"/>
          </rPr>
          <t xml:space="preserve">:
</t>
        </r>
        <r>
          <rPr>
            <sz val="9"/>
            <rFont val="新細明體"/>
            <family val="1"/>
          </rPr>
          <t>瘦肉</t>
        </r>
        <r>
          <rPr>
            <sz val="9"/>
            <rFont val="Times New Roman"/>
            <family val="1"/>
          </rPr>
          <t>1.5</t>
        </r>
        <r>
          <rPr>
            <sz val="9"/>
            <rFont val="新細明體"/>
            <family val="1"/>
          </rPr>
          <t>両</t>
        </r>
        <r>
          <rPr>
            <sz val="9"/>
            <rFont val="Times New Roman"/>
            <family val="1"/>
          </rPr>
          <t>;</t>
        </r>
        <r>
          <rPr>
            <sz val="9"/>
            <rFont val="新細明體"/>
            <family val="1"/>
          </rPr>
          <t>肥肉</t>
        </r>
        <r>
          <rPr>
            <sz val="9"/>
            <rFont val="Times New Roman"/>
            <family val="1"/>
          </rPr>
          <t>1.5</t>
        </r>
        <r>
          <rPr>
            <sz val="9"/>
            <rFont val="新細明體"/>
            <family val="1"/>
          </rPr>
          <t xml:space="preserve">両
</t>
        </r>
      </text>
    </comment>
    <comment ref="C86" authorId="1">
      <text>
        <r>
          <rPr>
            <sz val="9"/>
            <rFont val="新細明體"/>
            <family val="1"/>
          </rPr>
          <t>三文治（火腿、芝士、吞拿魚、牛肉、雞肉）</t>
        </r>
      </text>
    </comment>
    <comment ref="C85" authorId="1">
      <text>
        <r>
          <rPr>
            <sz val="9"/>
            <rFont val="新細明體"/>
            <family val="1"/>
          </rPr>
          <t>例如</t>
        </r>
        <r>
          <rPr>
            <sz val="9"/>
            <rFont val="Times New Roman"/>
            <family val="1"/>
          </rPr>
          <t>:</t>
        </r>
        <r>
          <rPr>
            <sz val="9"/>
            <rFont val="新細明體"/>
            <family val="1"/>
          </rPr>
          <t xml:space="preserve">
豬柳蛋漢堡餐</t>
        </r>
        <r>
          <rPr>
            <sz val="9"/>
            <rFont val="Times New Roman"/>
            <family val="1"/>
          </rPr>
          <t xml:space="preserve">, </t>
        </r>
        <r>
          <rPr>
            <sz val="9"/>
            <rFont val="新細明體"/>
            <family val="1"/>
          </rPr>
          <t>熱香餅餐</t>
        </r>
        <r>
          <rPr>
            <sz val="9"/>
            <rFont val="Times New Roman"/>
            <family val="1"/>
          </rPr>
          <t xml:space="preserve">, </t>
        </r>
        <r>
          <rPr>
            <sz val="9"/>
            <rFont val="新細明體"/>
            <family val="1"/>
          </rPr>
          <t>早晨全餐</t>
        </r>
        <r>
          <rPr>
            <sz val="9"/>
            <rFont val="Times New Roman"/>
            <family val="1"/>
          </rPr>
          <t xml:space="preserve">, </t>
        </r>
        <r>
          <rPr>
            <sz val="9"/>
            <rFont val="新細明體"/>
            <family val="1"/>
          </rPr>
          <t>魚柳包餐</t>
        </r>
      </text>
    </comment>
    <comment ref="C101" authorId="1">
      <text>
        <r>
          <rPr>
            <sz val="9"/>
            <rFont val="新細明體"/>
            <family val="1"/>
          </rPr>
          <t xml:space="preserve">三文治（火腿、芝士、吞拿魚、牛肉、雞肉）
</t>
        </r>
      </text>
    </comment>
    <comment ref="C64" authorId="1">
      <text>
        <r>
          <rPr>
            <sz val="9"/>
            <rFont val="Times New Roman"/>
            <family val="1"/>
          </rPr>
          <t>1</t>
        </r>
        <r>
          <rPr>
            <sz val="9"/>
            <rFont val="新細明體"/>
            <family val="1"/>
          </rPr>
          <t>份</t>
        </r>
        <r>
          <rPr>
            <sz val="9"/>
            <rFont val="Times New Roman"/>
            <family val="1"/>
          </rPr>
          <t>=160kcal</t>
        </r>
        <r>
          <rPr>
            <sz val="9"/>
            <rFont val="新細明體"/>
            <family val="1"/>
          </rPr>
          <t xml:space="preserve">
</t>
        </r>
      </text>
    </comment>
    <comment ref="C18" authorId="2">
      <text>
        <r>
          <rPr>
            <sz val="9"/>
            <rFont val="新細明體"/>
            <family val="1"/>
          </rPr>
          <t xml:space="preserve">如吃炸包,請在(享調:炸)內記錄吃了多少次
</t>
        </r>
      </text>
    </comment>
    <comment ref="C20" authorId="2">
      <text>
        <r>
          <rPr>
            <sz val="9"/>
            <rFont val="新細明體"/>
            <family val="1"/>
          </rPr>
          <t xml:space="preserve">如有其他餅類-杏仁餅,雞仔餅等,請在小食記錄
</t>
        </r>
      </text>
    </comment>
    <comment ref="C26" authorId="2">
      <text>
        <r>
          <rPr>
            <sz val="11"/>
            <rFont val="新細明體"/>
            <family val="1"/>
          </rPr>
          <t>肉蟹17x10cm連殼530g;
1隻肉蟹=110g淨肉熟;
1隻肉蟹=3兩</t>
        </r>
      </text>
    </comment>
    <comment ref="C41" authorId="2">
      <text>
        <r>
          <rPr>
            <sz val="11"/>
            <rFont val="新細明體"/>
            <family val="1"/>
          </rPr>
          <t>例如</t>
        </r>
        <r>
          <rPr>
            <sz val="11"/>
            <rFont val="Times New Roman"/>
            <family val="1"/>
          </rPr>
          <t xml:space="preserve">: 
</t>
        </r>
        <r>
          <rPr>
            <sz val="11"/>
            <rFont val="新細明體"/>
            <family val="1"/>
          </rPr>
          <t>金莎</t>
        </r>
        <r>
          <rPr>
            <sz val="11"/>
            <rFont val="Times New Roman"/>
            <family val="1"/>
          </rPr>
          <t xml:space="preserve"> 3</t>
        </r>
        <r>
          <rPr>
            <sz val="11"/>
            <rFont val="新細明體"/>
            <family val="1"/>
          </rPr>
          <t>粒</t>
        </r>
        <r>
          <rPr>
            <sz val="11"/>
            <rFont val="Times New Roman"/>
            <family val="1"/>
          </rPr>
          <t xml:space="preserve">=35g;
</t>
        </r>
        <r>
          <rPr>
            <sz val="11"/>
            <rFont val="新細明體"/>
            <family val="1"/>
          </rPr>
          <t>麥提莎</t>
        </r>
        <r>
          <rPr>
            <sz val="11"/>
            <rFont val="Times New Roman"/>
            <family val="1"/>
          </rPr>
          <t xml:space="preserve"> 1</t>
        </r>
        <r>
          <rPr>
            <sz val="11"/>
            <rFont val="新細明體"/>
            <family val="1"/>
          </rPr>
          <t>包</t>
        </r>
        <r>
          <rPr>
            <sz val="11"/>
            <rFont val="Times New Roman"/>
            <family val="1"/>
          </rPr>
          <t>=40g;
Mars 1</t>
        </r>
        <r>
          <rPr>
            <sz val="11"/>
            <rFont val="新細明體"/>
            <family val="1"/>
          </rPr>
          <t>條</t>
        </r>
        <r>
          <rPr>
            <sz val="11"/>
            <rFont val="Times New Roman"/>
            <family val="1"/>
          </rPr>
          <t>=60g;
Snickers 1</t>
        </r>
        <r>
          <rPr>
            <sz val="11"/>
            <rFont val="新細明體"/>
            <family val="1"/>
          </rPr>
          <t>條</t>
        </r>
        <r>
          <rPr>
            <sz val="11"/>
            <rFont val="Times New Roman"/>
            <family val="1"/>
          </rPr>
          <t>=59g;
Time out 1</t>
        </r>
        <r>
          <rPr>
            <sz val="11"/>
            <rFont val="新細明體"/>
            <family val="1"/>
          </rPr>
          <t>包</t>
        </r>
        <r>
          <rPr>
            <sz val="11"/>
            <rFont val="Times New Roman"/>
            <family val="1"/>
          </rPr>
          <t>=40g;
swiss</t>
        </r>
        <r>
          <rPr>
            <sz val="11"/>
            <rFont val="新細明體"/>
            <family val="1"/>
          </rPr>
          <t>三角朱古力</t>
        </r>
        <r>
          <rPr>
            <sz val="11"/>
            <rFont val="Times New Roman"/>
            <family val="1"/>
          </rPr>
          <t xml:space="preserve"> 1</t>
        </r>
        <r>
          <rPr>
            <sz val="11"/>
            <rFont val="新細明體"/>
            <family val="1"/>
          </rPr>
          <t>條細</t>
        </r>
        <r>
          <rPr>
            <sz val="11"/>
            <rFont val="Times New Roman"/>
            <family val="1"/>
          </rPr>
          <t xml:space="preserve">=50g; 
</t>
        </r>
        <r>
          <rPr>
            <sz val="11"/>
            <rFont val="新細明體"/>
            <family val="1"/>
          </rPr>
          <t xml:space="preserve">
</t>
        </r>
      </text>
    </comment>
    <comment ref="C43" authorId="0">
      <text>
        <r>
          <rPr>
            <sz val="9"/>
            <rFont val="新細明體"/>
            <family val="1"/>
          </rPr>
          <t>肉乾</t>
        </r>
        <r>
          <rPr>
            <sz val="9"/>
            <rFont val="Times New Roman"/>
            <family val="1"/>
          </rPr>
          <t>1.5</t>
        </r>
        <r>
          <rPr>
            <sz val="9"/>
            <rFont val="新細明體"/>
            <family val="1"/>
          </rPr>
          <t>正方塊</t>
        </r>
        <r>
          <rPr>
            <sz val="9"/>
            <rFont val="Times New Roman"/>
            <family val="1"/>
          </rPr>
          <t>=1</t>
        </r>
        <r>
          <rPr>
            <sz val="9"/>
            <rFont val="新細明體"/>
            <family val="1"/>
          </rPr>
          <t>份
薯片</t>
        </r>
        <r>
          <rPr>
            <sz val="9"/>
            <rFont val="Times New Roman"/>
            <family val="1"/>
          </rPr>
          <t>20</t>
        </r>
        <r>
          <rPr>
            <sz val="9"/>
            <rFont val="新細明體"/>
            <family val="1"/>
          </rPr>
          <t>片</t>
        </r>
        <r>
          <rPr>
            <sz val="9"/>
            <rFont val="Times New Roman"/>
            <family val="1"/>
          </rPr>
          <t>=1</t>
        </r>
        <r>
          <rPr>
            <sz val="9"/>
            <rFont val="新細明體"/>
            <family val="1"/>
          </rPr>
          <t xml:space="preserve">份
</t>
        </r>
      </text>
    </comment>
    <comment ref="C46" authorId="0">
      <text>
        <r>
          <rPr>
            <sz val="9"/>
            <rFont val="新細明體"/>
            <family val="1"/>
          </rPr>
          <t>如</t>
        </r>
        <r>
          <rPr>
            <sz val="9"/>
            <rFont val="Times New Roman"/>
            <family val="1"/>
          </rPr>
          <t>patient</t>
        </r>
        <r>
          <rPr>
            <sz val="9"/>
            <rFont val="新細明體"/>
            <family val="1"/>
          </rPr>
          <t>不知道是全脂</t>
        </r>
        <r>
          <rPr>
            <sz val="9"/>
            <rFont val="Times New Roman"/>
            <family val="1"/>
          </rPr>
          <t>/</t>
        </r>
        <r>
          <rPr>
            <sz val="9"/>
            <rFont val="新細明體"/>
            <family val="1"/>
          </rPr>
          <t>低脂</t>
        </r>
        <r>
          <rPr>
            <sz val="9"/>
            <rFont val="Times New Roman"/>
            <family val="1"/>
          </rPr>
          <t xml:space="preserve">, </t>
        </r>
        <r>
          <rPr>
            <sz val="9"/>
            <rFont val="新細明體"/>
            <family val="1"/>
          </rPr>
          <t xml:space="preserve">當作全脂奶記錄
</t>
        </r>
      </text>
    </comment>
    <comment ref="C48" authorId="0">
      <text>
        <r>
          <rPr>
            <sz val="9"/>
            <rFont val="新細明體"/>
            <family val="1"/>
          </rPr>
          <t>如奶茶</t>
        </r>
        <r>
          <rPr>
            <sz val="9"/>
            <rFont val="Times New Roman"/>
            <family val="1"/>
          </rPr>
          <t>/</t>
        </r>
        <r>
          <rPr>
            <sz val="9"/>
            <rFont val="新細明體"/>
            <family val="1"/>
          </rPr>
          <t>咖啡等要加花奶</t>
        </r>
        <r>
          <rPr>
            <sz val="9"/>
            <rFont val="Times New Roman"/>
            <family val="1"/>
          </rPr>
          <t>,</t>
        </r>
        <r>
          <rPr>
            <sz val="9"/>
            <rFont val="新細明體"/>
            <family val="1"/>
          </rPr>
          <t xml:space="preserve">請在上欄記錄
</t>
        </r>
      </text>
    </comment>
  </commentList>
</comments>
</file>

<file path=xl/sharedStrings.xml><?xml version="1.0" encoding="utf-8"?>
<sst xmlns="http://schemas.openxmlformats.org/spreadsheetml/2006/main" count="420" uniqueCount="154">
  <si>
    <t>粉麵類製品：</t>
  </si>
  <si>
    <t>菠蘿包、雞尾包</t>
  </si>
  <si>
    <t>海鮮：</t>
  </si>
  <si>
    <t>鱔</t>
  </si>
  <si>
    <t>牛油、植物牛油</t>
  </si>
  <si>
    <t>紅米、麥片</t>
  </si>
  <si>
    <t>水果: 包括所有水果及乾果</t>
  </si>
  <si>
    <t>早餐</t>
  </si>
  <si>
    <t>肥肉</t>
  </si>
  <si>
    <t>魚類</t>
  </si>
  <si>
    <t>蒸點心</t>
  </si>
  <si>
    <t xml:space="preserve">燒賣、蝦餃、魚翅餃、粉果…… </t>
  </si>
  <si>
    <t>煎炸點心</t>
  </si>
  <si>
    <t>快餐店早餐</t>
  </si>
  <si>
    <t>午餐</t>
  </si>
  <si>
    <t>晚餐</t>
  </si>
  <si>
    <t>東區尤德夫人那打素醫院 - 營養部</t>
  </si>
  <si>
    <t>[低脂肪低膽固醇飲食評估]</t>
  </si>
  <si>
    <t>姓名:</t>
  </si>
  <si>
    <t>身份証號碼:</t>
  </si>
  <si>
    <r>
      <t>蛋類/蛋類食品：</t>
    </r>
    <r>
      <rPr>
        <sz val="11"/>
        <rFont val="標楷體"/>
        <family val="4"/>
      </rPr>
      <t xml:space="preserve">  </t>
    </r>
  </si>
  <si>
    <t>每星期</t>
  </si>
  <si>
    <t>每月</t>
  </si>
  <si>
    <t>每次</t>
  </si>
  <si>
    <t>次</t>
  </si>
  <si>
    <t>隻</t>
  </si>
  <si>
    <t>件</t>
  </si>
  <si>
    <t>西餅、蛋糕、椰撻</t>
  </si>
  <si>
    <t>碗</t>
  </si>
  <si>
    <t>個</t>
  </si>
  <si>
    <t>酥皮批、老婆餅</t>
  </si>
  <si>
    <t>湯匙</t>
  </si>
  <si>
    <t xml:space="preserve">魷魚 </t>
  </si>
  <si>
    <t>片</t>
  </si>
  <si>
    <t>兩</t>
  </si>
  <si>
    <t>其他：</t>
  </si>
  <si>
    <t xml:space="preserve">內臟　如牛肚/什、豬肚、肝、肺、腰、腎、脊髓等 </t>
  </si>
  <si>
    <t>脂肪/湯：</t>
  </si>
  <si>
    <t>茶匙</t>
  </si>
  <si>
    <t>湯水: 骨湯、雞腳湯、忌廉湯、牛尾湯</t>
  </si>
  <si>
    <t>小食：</t>
  </si>
  <si>
    <t>份</t>
  </si>
  <si>
    <t>粒</t>
  </si>
  <si>
    <t>奶及乳製品：</t>
  </si>
  <si>
    <t>杯</t>
  </si>
  <si>
    <r>
      <t>芝士</t>
    </r>
    <r>
      <rPr>
        <sz val="11"/>
        <rFont val="Times New Roman"/>
        <family val="1"/>
      </rPr>
      <t xml:space="preserve"> </t>
    </r>
  </si>
  <si>
    <t xml:space="preserve">纖維食品： </t>
  </si>
  <si>
    <t>飲品：</t>
  </si>
  <si>
    <r>
      <t>你有沒有進食以下食物</t>
    </r>
    <r>
      <rPr>
        <b/>
        <sz val="13"/>
        <rFont val="Times New Roman"/>
        <family val="1"/>
      </rPr>
      <t xml:space="preserve"> (</t>
    </r>
    <r>
      <rPr>
        <b/>
        <sz val="13"/>
        <rFont val="標楷體"/>
        <family val="4"/>
      </rPr>
      <t>平日及假日）</t>
    </r>
  </si>
  <si>
    <t>假日</t>
  </si>
  <si>
    <t>早餐及早小</t>
  </si>
  <si>
    <t>瘦肉</t>
  </si>
  <si>
    <t xml:space="preserve">叉燒飽、潮州粉果、山竹牛肉…… </t>
  </si>
  <si>
    <r>
      <t>芋角、鍋貼、炸兩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油條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…… </t>
    </r>
  </si>
  <si>
    <t>快餐店早餐 :三文治</t>
  </si>
  <si>
    <t>午餐及小食</t>
  </si>
  <si>
    <r>
      <t>炸雞翼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兩隻全翼</t>
    </r>
    <r>
      <rPr>
        <sz val="11"/>
        <rFont val="Times New Roman"/>
        <family val="1"/>
      </rPr>
      <t>)/</t>
    </r>
    <r>
      <rPr>
        <sz val="11"/>
        <rFont val="標楷體"/>
        <family val="4"/>
      </rPr>
      <t>炸雞腿</t>
    </r>
  </si>
  <si>
    <t>晚餐及宵夜</t>
  </si>
  <si>
    <t>魚、魚片、魚球</t>
  </si>
  <si>
    <t>茶樓、茶餐廳、快餐</t>
  </si>
  <si>
    <t>粥麵</t>
  </si>
  <si>
    <t>其他</t>
  </si>
  <si>
    <t>脂肪</t>
  </si>
  <si>
    <t>膽固醇</t>
  </si>
  <si>
    <t>飽和脂肪</t>
  </si>
  <si>
    <t>星期</t>
  </si>
  <si>
    <t>總分</t>
  </si>
  <si>
    <t>其他:</t>
  </si>
  <si>
    <t>湯麵:雲吞麵</t>
  </si>
  <si>
    <t>日期:</t>
  </si>
  <si>
    <t>營養師專用</t>
  </si>
  <si>
    <t>總數</t>
  </si>
  <si>
    <t>(50-60)</t>
  </si>
  <si>
    <t>(200)</t>
  </si>
  <si>
    <t>(12-14)</t>
  </si>
  <si>
    <t>纖維</t>
  </si>
  <si>
    <t>皮蛋</t>
  </si>
  <si>
    <t>咸蛋</t>
  </si>
  <si>
    <r>
      <t>全麥</t>
    </r>
    <r>
      <rPr>
        <sz val="11"/>
        <rFont val="標楷體"/>
        <family val="4"/>
      </rPr>
      <t>餅乾</t>
    </r>
  </si>
  <si>
    <t>全麥麵包</t>
  </si>
  <si>
    <t>低脂乳酪、低脂芝士</t>
  </si>
  <si>
    <r>
      <t>魚片、魚蛋</t>
    </r>
    <r>
      <rPr>
        <sz val="8"/>
        <rFont val="標楷體"/>
        <family val="4"/>
      </rPr>
      <t>（４粒＝１兩）</t>
    </r>
  </si>
  <si>
    <r>
      <t xml:space="preserve">蟹、龍蝦 </t>
    </r>
    <r>
      <rPr>
        <sz val="8"/>
        <rFont val="標楷體"/>
        <family val="4"/>
      </rPr>
      <t>(除去羔)</t>
    </r>
  </si>
  <si>
    <t>兩</t>
  </si>
  <si>
    <t>瘦肉</t>
  </si>
  <si>
    <r>
      <t>魚雲/魚頭、魚子、蝦羔</t>
    </r>
    <r>
      <rPr>
        <sz val="8"/>
        <rFont val="標楷體"/>
        <family val="4"/>
      </rPr>
      <t>(頭)</t>
    </r>
    <r>
      <rPr>
        <sz val="11"/>
        <rFont val="標楷體"/>
        <family val="4"/>
      </rPr>
      <t>、蟹羔</t>
    </r>
  </si>
  <si>
    <t>意大利薄餅</t>
  </si>
  <si>
    <t>鵪鶉蛋</t>
  </si>
  <si>
    <r>
      <t>蛋黃</t>
    </r>
    <r>
      <rPr>
        <sz val="8"/>
        <color indexed="10"/>
        <rFont val="標楷體"/>
        <family val="4"/>
      </rPr>
      <t>(1隻=1份)</t>
    </r>
  </si>
  <si>
    <r>
      <t>花生醬、沙律醬</t>
    </r>
    <r>
      <rPr>
        <sz val="8"/>
        <color indexed="10"/>
        <rFont val="標楷體"/>
        <family val="4"/>
      </rPr>
      <t>(Fat Free-不用記錄)</t>
    </r>
  </si>
  <si>
    <r>
      <t>腸/午餐肉</t>
    </r>
    <r>
      <rPr>
        <sz val="8"/>
        <color indexed="10"/>
        <rFont val="標楷體"/>
        <family val="4"/>
      </rPr>
      <t>(1條/片=1兩)</t>
    </r>
    <r>
      <rPr>
        <sz val="11"/>
        <rFont val="標楷體"/>
        <family val="4"/>
      </rPr>
      <t>、腩肉、排骨</t>
    </r>
  </si>
  <si>
    <r>
      <t>魚、魚片、魚蛋</t>
    </r>
    <r>
      <rPr>
        <sz val="8"/>
        <color indexed="8"/>
        <rFont val="標楷體"/>
        <family val="4"/>
      </rPr>
      <t>（４粒＝１兩)</t>
    </r>
  </si>
  <si>
    <t>蛋撻、蛋卷、蛋製食品</t>
  </si>
  <si>
    <t>麥當勞早餐</t>
  </si>
  <si>
    <r>
      <t>三文治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 xml:space="preserve"> </t>
    </r>
  </si>
  <si>
    <t>(1件=1/8個中批)</t>
  </si>
  <si>
    <r>
      <t>酒: 啤酒</t>
    </r>
    <r>
      <rPr>
        <sz val="8"/>
        <color indexed="10"/>
        <rFont val="標楷體"/>
        <family val="4"/>
      </rPr>
      <t>(1.5杯=1份)</t>
    </r>
    <r>
      <rPr>
        <sz val="11"/>
        <rFont val="標楷體"/>
        <family val="4"/>
      </rPr>
      <t xml:space="preserve">、   </t>
    </r>
  </si>
  <si>
    <t>份</t>
  </si>
  <si>
    <r>
      <t>奶茶／咖啡伴侶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</t>
    </r>
    <r>
      <rPr>
        <sz val="8"/>
        <color indexed="10"/>
        <rFont val="標楷體"/>
        <family val="4"/>
      </rPr>
      <t>包括三合一咖啡、好立克、阿華田</t>
    </r>
    <r>
      <rPr>
        <sz val="8"/>
        <color indexed="10"/>
        <rFont val="Times New Roman"/>
        <family val="1"/>
      </rPr>
      <t>)</t>
    </r>
  </si>
  <si>
    <r>
      <t>蒸腸粉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</t>
    </r>
    <r>
      <rPr>
        <sz val="8"/>
        <color indexed="10"/>
        <rFont val="標楷體"/>
        <family val="4"/>
      </rPr>
      <t>包括牛肉腸粉</t>
    </r>
    <r>
      <rPr>
        <sz val="8"/>
        <color indexed="10"/>
        <rFont val="Times New Roman"/>
        <family val="1"/>
      </rPr>
      <t xml:space="preserve">, </t>
    </r>
    <r>
      <rPr>
        <sz val="8"/>
        <color indexed="10"/>
        <rFont val="標楷體"/>
        <family val="4"/>
      </rPr>
      <t>叉燒腸粉</t>
    </r>
    <r>
      <rPr>
        <sz val="8"/>
        <color indexed="10"/>
        <rFont val="Times New Roman"/>
        <family val="1"/>
      </rPr>
      <t>)</t>
    </r>
  </si>
  <si>
    <r>
      <t>蒸腸粉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</t>
    </r>
    <r>
      <rPr>
        <sz val="8"/>
        <color indexed="10"/>
        <rFont val="標楷體"/>
        <family val="4"/>
      </rPr>
      <t>包括牛肉腸粉</t>
    </r>
    <r>
      <rPr>
        <sz val="8"/>
        <color indexed="10"/>
        <rFont val="Times New Roman"/>
        <family val="1"/>
      </rPr>
      <t xml:space="preserve">, </t>
    </r>
    <r>
      <rPr>
        <sz val="8"/>
        <color indexed="10"/>
        <rFont val="標楷體"/>
        <family val="4"/>
      </rPr>
      <t>叉燒腸粉</t>
    </r>
    <r>
      <rPr>
        <sz val="8"/>
        <color indexed="10"/>
        <rFont val="Times New Roman"/>
        <family val="1"/>
      </rPr>
      <t>)</t>
    </r>
  </si>
  <si>
    <r>
      <t xml:space="preserve">烹調: 煎 </t>
    </r>
    <r>
      <rPr>
        <sz val="8"/>
        <color indexed="10"/>
        <rFont val="標楷體"/>
        <family val="4"/>
      </rPr>
      <t>(包括煎蛋/魚/肉-請把油計算在[烹調: 煎]; 炒菜不用計算)</t>
    </r>
  </si>
  <si>
    <r>
      <t xml:space="preserve">烹調: 炸 </t>
    </r>
    <r>
      <rPr>
        <sz val="8"/>
        <color indexed="10"/>
        <rFont val="標楷體"/>
        <family val="4"/>
      </rPr>
      <t>(包括炸魚/肉-請把油計算在[烹調: 炸])</t>
    </r>
  </si>
  <si>
    <r>
      <t>奶油包、炸包</t>
    </r>
    <r>
      <rPr>
        <sz val="8"/>
        <color indexed="10"/>
        <rFont val="標楷體"/>
        <family val="4"/>
      </rPr>
      <t>(包括油炸鬼、 煎堆)</t>
    </r>
    <r>
      <rPr>
        <sz val="11"/>
        <rFont val="標楷體"/>
        <family val="4"/>
      </rPr>
      <t>、牛角包</t>
    </r>
  </si>
  <si>
    <r>
      <t>瓜菜: 包括煮熟的瓜菜及沙律</t>
    </r>
    <r>
      <rPr>
        <sz val="11"/>
        <color indexed="10"/>
        <rFont val="標楷體"/>
        <family val="4"/>
      </rPr>
      <t xml:space="preserve"> </t>
    </r>
  </si>
  <si>
    <r>
      <t>雲吞麵</t>
    </r>
    <r>
      <rPr>
        <sz val="8"/>
        <color indexed="10"/>
        <rFont val="標楷體"/>
        <family val="4"/>
      </rPr>
      <t>(1碗=1份)</t>
    </r>
  </si>
  <si>
    <r>
      <t>紅酒</t>
    </r>
    <r>
      <rPr>
        <sz val="8"/>
        <color indexed="10"/>
        <rFont val="標楷體"/>
        <family val="4"/>
      </rPr>
      <t>(1杯=1份)</t>
    </r>
    <r>
      <rPr>
        <sz val="11"/>
        <rFont val="標楷體"/>
        <family val="4"/>
      </rPr>
      <t>、白酒</t>
    </r>
    <r>
      <rPr>
        <sz val="8"/>
        <color indexed="10"/>
        <rFont val="標楷體"/>
        <family val="4"/>
      </rPr>
      <t>(1杯=1份)</t>
    </r>
    <r>
      <rPr>
        <sz val="11"/>
        <rFont val="標楷體"/>
        <family val="4"/>
      </rPr>
      <t>、烈酒</t>
    </r>
    <r>
      <rPr>
        <sz val="8"/>
        <color indexed="10"/>
        <rFont val="標楷體"/>
        <family val="4"/>
      </rPr>
      <t xml:space="preserve">(1/4杯=1份)  </t>
    </r>
  </si>
  <si>
    <r>
      <t>豆奶、維他奶</t>
    </r>
    <r>
      <rPr>
        <sz val="8"/>
        <color indexed="10"/>
        <rFont val="標楷體"/>
        <family val="4"/>
      </rPr>
      <t xml:space="preserve"> (1杯 /237ml=1盒紙包維他奶)</t>
    </r>
  </si>
  <si>
    <r>
      <t xml:space="preserve">甜飲品: 糖水、汽水、甜果味飲品 </t>
    </r>
    <r>
      <rPr>
        <sz val="8"/>
        <color indexed="10"/>
        <rFont val="標楷體"/>
        <family val="4"/>
      </rPr>
      <t>(1杯/240ml)</t>
    </r>
  </si>
  <si>
    <r>
      <t>椰漿、椰奶飲品</t>
    </r>
    <r>
      <rPr>
        <sz val="8"/>
        <color indexed="10"/>
        <rFont val="標楷體"/>
        <family val="4"/>
      </rPr>
      <t>(1杯/240ml)</t>
    </r>
  </si>
  <si>
    <r>
      <t>花生</t>
    </r>
    <r>
      <rPr>
        <sz val="8"/>
        <color indexed="10"/>
        <rFont val="標楷體"/>
        <family val="4"/>
      </rPr>
      <t>(1份/2湯匙)</t>
    </r>
    <r>
      <rPr>
        <sz val="11"/>
        <rFont val="標楷體"/>
        <family val="4"/>
      </rPr>
      <t>、果仁</t>
    </r>
    <r>
      <rPr>
        <sz val="8"/>
        <color indexed="10"/>
        <rFont val="標楷體"/>
        <family val="4"/>
      </rPr>
      <t>(1份/2湯匙)</t>
    </r>
    <r>
      <rPr>
        <sz val="11"/>
        <rFont val="標楷體"/>
        <family val="4"/>
      </rPr>
      <t>、瓜子</t>
    </r>
    <r>
      <rPr>
        <sz val="8"/>
        <color indexed="10"/>
        <rFont val="標楷體"/>
        <family val="4"/>
      </rPr>
      <t>(1份/1.5湯匙)</t>
    </r>
  </si>
  <si>
    <r>
      <t>薯片/蝦片</t>
    </r>
    <r>
      <rPr>
        <sz val="8"/>
        <color indexed="10"/>
        <rFont val="標楷體"/>
        <family val="4"/>
      </rPr>
      <t>(1份/20片)</t>
    </r>
    <r>
      <rPr>
        <sz val="11"/>
        <rFont val="標楷體"/>
        <family val="4"/>
      </rPr>
      <t>、肉乾</t>
    </r>
    <r>
      <rPr>
        <sz val="8"/>
        <color indexed="10"/>
        <rFont val="標楷體"/>
        <family val="4"/>
      </rPr>
      <t>(1份/1.5片)</t>
    </r>
  </si>
  <si>
    <r>
      <t>油麵、伊麵、炒粉麵、炒飯</t>
    </r>
    <r>
      <rPr>
        <sz val="8"/>
        <color indexed="10"/>
        <rFont val="標楷體"/>
        <family val="4"/>
      </rPr>
      <t xml:space="preserve">(茶餐廳: 1碟/2.5平碗; 酒樓: 1碟/3平碗) </t>
    </r>
  </si>
  <si>
    <r>
      <t>中蝦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兩</t>
    </r>
    <r>
      <rPr>
        <sz val="8"/>
        <color indexed="10"/>
        <rFont val="Times New Roman"/>
        <family val="1"/>
      </rPr>
      <t>/3</t>
    </r>
    <r>
      <rPr>
        <sz val="8"/>
        <color indexed="10"/>
        <rFont val="標楷體"/>
        <family val="4"/>
      </rPr>
      <t>隻</t>
    </r>
    <r>
      <rPr>
        <sz val="8"/>
        <color indexed="10"/>
        <rFont val="Times New Roman"/>
        <family val="1"/>
      </rPr>
      <t>)</t>
    </r>
  </si>
  <si>
    <r>
      <t>豆腐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磚</t>
    </r>
    <r>
      <rPr>
        <sz val="8"/>
        <color indexed="10"/>
        <rFont val="Times New Roman"/>
        <family val="1"/>
      </rPr>
      <t xml:space="preserve"> / 1</t>
    </r>
    <r>
      <rPr>
        <sz val="8"/>
        <color indexed="10"/>
        <rFont val="標楷體"/>
        <family val="4"/>
      </rPr>
      <t>碗</t>
    </r>
    <r>
      <rPr>
        <sz val="8"/>
        <color indexed="10"/>
        <rFont val="Times New Roman"/>
        <family val="1"/>
      </rPr>
      <t xml:space="preserve"> )</t>
    </r>
  </si>
  <si>
    <r>
      <t>乾豆:黃豆</t>
    </r>
    <r>
      <rPr>
        <sz val="8"/>
        <color indexed="10"/>
        <rFont val="標楷體"/>
        <family val="4"/>
      </rPr>
      <t>(1碗/1份)</t>
    </r>
    <r>
      <rPr>
        <sz val="11"/>
        <rFont val="標楷體"/>
        <family val="4"/>
      </rPr>
      <t>, 眉豆</t>
    </r>
    <r>
      <rPr>
        <sz val="8"/>
        <color indexed="10"/>
        <rFont val="標楷體"/>
        <family val="4"/>
      </rPr>
      <t>(4碗/0.5份)</t>
    </r>
    <r>
      <rPr>
        <sz val="8"/>
        <color indexed="8"/>
        <rFont val="標楷體"/>
        <family val="4"/>
      </rPr>
      <t>,</t>
    </r>
    <r>
      <rPr>
        <sz val="11"/>
        <color indexed="8"/>
        <rFont val="標楷體"/>
        <family val="4"/>
      </rPr>
      <t xml:space="preserve"> </t>
    </r>
    <r>
      <rPr>
        <sz val="11"/>
        <rFont val="標楷體"/>
        <family val="4"/>
      </rPr>
      <t>烏豆</t>
    </r>
    <r>
      <rPr>
        <sz val="8"/>
        <color indexed="10"/>
        <rFont val="標楷體"/>
        <family val="4"/>
      </rPr>
      <t>(1碗/1份)</t>
    </r>
  </si>
  <si>
    <r>
      <t xml:space="preserve">雪糕 、雪糕批 </t>
    </r>
    <r>
      <rPr>
        <sz val="8"/>
        <color indexed="10"/>
        <rFont val="標楷體"/>
        <family val="4"/>
      </rPr>
      <t xml:space="preserve">(1個雪糕雪條批/0.5杯雪糕) </t>
    </r>
  </si>
  <si>
    <r>
      <t>糯米雞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件糯米雞</t>
    </r>
    <r>
      <rPr>
        <sz val="8"/>
        <color indexed="10"/>
        <rFont val="Times New Roman"/>
        <family val="1"/>
      </rPr>
      <t xml:space="preserve"> / 2</t>
    </r>
    <r>
      <rPr>
        <sz val="8"/>
        <color indexed="10"/>
        <rFont val="標楷體"/>
        <family val="4"/>
      </rPr>
      <t>件珍珠雞</t>
    </r>
    <r>
      <rPr>
        <sz val="8"/>
        <color indexed="10"/>
        <rFont val="Times New Roman"/>
        <family val="1"/>
      </rPr>
      <t>)</t>
    </r>
  </si>
  <si>
    <r>
      <t>春卷</t>
    </r>
    <r>
      <rPr>
        <sz val="8"/>
        <color indexed="10"/>
        <rFont val="Times New Roman"/>
        <family val="1"/>
      </rPr>
      <t xml:space="preserve"> (1</t>
    </r>
    <r>
      <rPr>
        <sz val="8"/>
        <color indexed="10"/>
        <rFont val="標楷體"/>
        <family val="4"/>
      </rPr>
      <t>份</t>
    </r>
    <r>
      <rPr>
        <sz val="8"/>
        <color indexed="10"/>
        <rFont val="Times New Roman"/>
        <family val="1"/>
      </rPr>
      <t>/1</t>
    </r>
    <r>
      <rPr>
        <sz val="8"/>
        <color indexed="10"/>
        <rFont val="標楷體"/>
        <family val="4"/>
      </rPr>
      <t>條</t>
    </r>
    <r>
      <rPr>
        <sz val="8"/>
        <color indexed="10"/>
        <rFont val="Times New Roman"/>
        <family val="1"/>
      </rPr>
      <t>)</t>
    </r>
  </si>
  <si>
    <r>
      <t>春卷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份</t>
    </r>
    <r>
      <rPr>
        <sz val="8"/>
        <color indexed="10"/>
        <rFont val="Times New Roman"/>
        <family val="1"/>
      </rPr>
      <t>/1</t>
    </r>
    <r>
      <rPr>
        <sz val="8"/>
        <color indexed="10"/>
        <rFont val="標楷體"/>
        <family val="4"/>
      </rPr>
      <t>條</t>
    </r>
    <r>
      <rPr>
        <sz val="8"/>
        <color indexed="10"/>
        <rFont val="Times New Roman"/>
        <family val="1"/>
      </rPr>
      <t>)</t>
    </r>
  </si>
  <si>
    <r>
      <t>帶子</t>
    </r>
    <r>
      <rPr>
        <sz val="11"/>
        <color indexed="10"/>
        <rFont val="標楷體"/>
        <family val="4"/>
      </rPr>
      <t>(</t>
    </r>
    <r>
      <rPr>
        <sz val="8"/>
        <color indexed="10"/>
        <rFont val="標楷體"/>
        <family val="4"/>
      </rPr>
      <t>1隻約4cm長; 1兩/2隻)</t>
    </r>
    <r>
      <rPr>
        <sz val="11"/>
        <rFont val="標楷體"/>
        <family val="4"/>
      </rPr>
      <t>、青口</t>
    </r>
    <r>
      <rPr>
        <sz val="8"/>
        <color indexed="10"/>
        <rFont val="標楷體"/>
        <family val="4"/>
      </rPr>
      <t>(1兩/2隻)</t>
    </r>
  </si>
  <si>
    <r>
      <t>蚝</t>
    </r>
    <r>
      <rPr>
        <sz val="8"/>
        <color indexed="10"/>
        <rFont val="標楷體"/>
        <family val="4"/>
      </rPr>
      <t>(1兩/1隻) (1隻約40g)</t>
    </r>
  </si>
  <si>
    <r>
      <t>鮑魚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兩</t>
    </r>
    <r>
      <rPr>
        <sz val="8"/>
        <color indexed="10"/>
        <rFont val="Times New Roman"/>
        <family val="1"/>
      </rPr>
      <t>/3</t>
    </r>
    <r>
      <rPr>
        <sz val="8"/>
        <color indexed="10"/>
        <rFont val="標楷體"/>
        <family val="4"/>
      </rPr>
      <t>隻</t>
    </r>
    <r>
      <rPr>
        <sz val="8"/>
        <color indexed="10"/>
        <rFont val="Times New Roman"/>
        <family val="1"/>
      </rPr>
      <t>) ; (1</t>
    </r>
    <r>
      <rPr>
        <sz val="8"/>
        <color indexed="10"/>
        <rFont val="標楷體"/>
        <family val="4"/>
      </rPr>
      <t>隻約</t>
    </r>
    <r>
      <rPr>
        <sz val="8"/>
        <color indexed="10"/>
        <rFont val="Times New Roman"/>
        <family val="1"/>
      </rPr>
      <t>5</t>
    </r>
    <r>
      <rPr>
        <sz val="8"/>
        <color indexed="10"/>
        <rFont val="標楷體"/>
        <family val="4"/>
      </rPr>
      <t>厘米長</t>
    </r>
    <r>
      <rPr>
        <sz val="8"/>
        <color indexed="10"/>
        <rFont val="Times New Roman"/>
        <family val="1"/>
      </rPr>
      <t>)</t>
    </r>
  </si>
  <si>
    <r>
      <t>曲奇、夾心、威化餅、朱古力餅</t>
    </r>
    <r>
      <rPr>
        <sz val="8"/>
        <color indexed="10"/>
        <rFont val="標楷體"/>
        <family val="4"/>
      </rPr>
      <t>(1份/2塊) (2塊約32g)</t>
    </r>
  </si>
  <si>
    <r>
      <t>全脂奶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杯</t>
    </r>
    <r>
      <rPr>
        <sz val="8"/>
        <color indexed="10"/>
        <rFont val="Times New Roman"/>
        <family val="1"/>
      </rPr>
      <t>/244ml)</t>
    </r>
    <r>
      <rPr>
        <sz val="11"/>
        <rFont val="標楷體"/>
        <family val="4"/>
      </rPr>
      <t>、奶昔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杯</t>
    </r>
    <r>
      <rPr>
        <sz val="8"/>
        <color indexed="10"/>
        <rFont val="Times New Roman"/>
        <family val="1"/>
      </rPr>
      <t>/226ml)</t>
    </r>
    <r>
      <rPr>
        <sz val="11"/>
        <rFont val="標楷體"/>
        <family val="4"/>
      </rPr>
      <t>、奶粉</t>
    </r>
    <r>
      <rPr>
        <sz val="8"/>
        <color indexed="10"/>
        <rFont val="Times New Roman"/>
        <family val="1"/>
      </rPr>
      <t>(7</t>
    </r>
    <r>
      <rPr>
        <sz val="8"/>
        <color indexed="10"/>
        <rFont val="標楷體"/>
        <family val="4"/>
      </rPr>
      <t>茶匙</t>
    </r>
    <r>
      <rPr>
        <sz val="8"/>
        <color indexed="10"/>
        <rFont val="Times New Roman"/>
        <family val="1"/>
      </rPr>
      <t>/33g)</t>
    </r>
    <r>
      <rPr>
        <sz val="8"/>
        <color indexed="10"/>
        <rFont val="標楷體"/>
        <family val="4"/>
      </rPr>
      <t xml:space="preserve"> </t>
    </r>
  </si>
  <si>
    <r>
      <t>低脂奶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杯</t>
    </r>
    <r>
      <rPr>
        <sz val="8"/>
        <color indexed="10"/>
        <rFont val="Times New Roman"/>
        <family val="1"/>
      </rPr>
      <t xml:space="preserve">/244ml), </t>
    </r>
    <r>
      <rPr>
        <sz val="8"/>
        <rFont val="標楷體"/>
        <family val="4"/>
      </rPr>
      <t>乳酪</t>
    </r>
    <r>
      <rPr>
        <sz val="8"/>
        <color indexed="10"/>
        <rFont val="Times New Roman"/>
        <family val="1"/>
      </rPr>
      <t>(1</t>
    </r>
    <r>
      <rPr>
        <sz val="8"/>
        <color indexed="10"/>
        <rFont val="標楷體"/>
        <family val="4"/>
      </rPr>
      <t>杯</t>
    </r>
    <r>
      <rPr>
        <sz val="8"/>
        <color indexed="10"/>
        <rFont val="Times New Roman"/>
        <family val="1"/>
      </rPr>
      <t xml:space="preserve">/150ml), </t>
    </r>
    <r>
      <rPr>
        <sz val="8"/>
        <rFont val="標楷體"/>
        <family val="4"/>
      </rPr>
      <t>朱古力飲品</t>
    </r>
    <r>
      <rPr>
        <sz val="8"/>
        <rFont val="Times New Roman"/>
        <family val="1"/>
      </rPr>
      <t xml:space="preserve">, </t>
    </r>
    <r>
      <rPr>
        <sz val="8"/>
        <rFont val="標楷體"/>
        <family val="4"/>
      </rPr>
      <t>煉奶</t>
    </r>
    <r>
      <rPr>
        <sz val="8"/>
        <color indexed="10"/>
        <rFont val="Times New Roman"/>
        <family val="1"/>
      </rPr>
      <t>(2</t>
    </r>
    <r>
      <rPr>
        <sz val="8"/>
        <color indexed="10"/>
        <rFont val="標楷體"/>
        <family val="4"/>
      </rPr>
      <t>湯匙</t>
    </r>
    <r>
      <rPr>
        <sz val="8"/>
        <color indexed="10"/>
        <rFont val="Times New Roman"/>
        <family val="1"/>
      </rPr>
      <t xml:space="preserve">), </t>
    </r>
    <r>
      <rPr>
        <sz val="8"/>
        <rFont val="標楷體"/>
        <family val="4"/>
      </rPr>
      <t>花奶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(4</t>
    </r>
    <r>
      <rPr>
        <sz val="8"/>
        <color indexed="10"/>
        <rFont val="標楷體"/>
        <family val="4"/>
      </rPr>
      <t>湯匙</t>
    </r>
    <r>
      <rPr>
        <sz val="8"/>
        <color indexed="10"/>
        <rFont val="Times New Roman"/>
        <family val="1"/>
      </rPr>
      <t>)</t>
    </r>
  </si>
  <si>
    <r>
      <t>朱古力</t>
    </r>
    <r>
      <rPr>
        <sz val="6"/>
        <color indexed="10"/>
        <rFont val="標楷體"/>
        <family val="4"/>
      </rPr>
      <t xml:space="preserve"> </t>
    </r>
    <r>
      <rPr>
        <sz val="8"/>
        <color indexed="10"/>
        <rFont val="標楷體"/>
        <family val="4"/>
      </rPr>
      <t>(金莎1.5粒/</t>
    </r>
    <r>
      <rPr>
        <sz val="6"/>
        <color indexed="10"/>
        <rFont val="標楷體"/>
        <family val="4"/>
      </rPr>
      <t>1份</t>
    </r>
    <r>
      <rPr>
        <sz val="8"/>
        <color indexed="10"/>
        <rFont val="標楷體"/>
        <family val="4"/>
      </rPr>
      <t>;麥提莎半包/</t>
    </r>
    <r>
      <rPr>
        <sz val="6"/>
        <color indexed="10"/>
        <rFont val="標楷體"/>
        <family val="4"/>
      </rPr>
      <t>1份</t>
    </r>
    <r>
      <rPr>
        <sz val="8"/>
        <color indexed="10"/>
        <rFont val="標楷體"/>
        <family val="4"/>
      </rPr>
      <t>;Mars半條/</t>
    </r>
    <r>
      <rPr>
        <sz val="6"/>
        <color indexed="10"/>
        <rFont val="標楷體"/>
        <family val="4"/>
      </rPr>
      <t>1份</t>
    </r>
    <r>
      <rPr>
        <sz val="8"/>
        <color indexed="10"/>
        <rFont val="標楷體"/>
        <family val="4"/>
      </rPr>
      <t>;Snickers半條</t>
    </r>
    <r>
      <rPr>
        <sz val="6"/>
        <color indexed="10"/>
        <rFont val="標楷體"/>
        <family val="4"/>
      </rPr>
      <t>/1份</t>
    </r>
    <r>
      <rPr>
        <sz val="8"/>
        <color indexed="10"/>
        <rFont val="標楷體"/>
        <family val="4"/>
      </rPr>
      <t>;</t>
    </r>
  </si>
  <si>
    <t>單元</t>
  </si>
  <si>
    <t>瘦豬牛羊肉、火腿、牛展、去皮雞鴨鵝</t>
  </si>
  <si>
    <r>
      <t>鴨掌/鳳爪</t>
    </r>
    <r>
      <rPr>
        <sz val="7"/>
        <color indexed="10"/>
        <rFont val="標楷體"/>
        <family val="4"/>
      </rPr>
      <t>(1隻/0.5兩肉)</t>
    </r>
    <r>
      <rPr>
        <sz val="7"/>
        <rFont val="標楷體"/>
        <family val="4"/>
      </rPr>
      <t>、雞翼、豬手/腳、燒雞鴨鵝連皮</t>
    </r>
  </si>
  <si>
    <r>
      <t>鴨掌/鳳爪</t>
    </r>
    <r>
      <rPr>
        <sz val="7"/>
        <color indexed="10"/>
        <rFont val="標楷體"/>
        <family val="4"/>
      </rPr>
      <t>(1隻/0.5兩肉)</t>
    </r>
    <r>
      <rPr>
        <sz val="7"/>
        <rFont val="標楷體"/>
        <family val="4"/>
      </rPr>
      <t>、雞翼、豬手/腳、燒雞鴨鵝連皮</t>
    </r>
  </si>
  <si>
    <r>
      <t>腸/午餐肉</t>
    </r>
    <r>
      <rPr>
        <sz val="7"/>
        <color indexed="10"/>
        <rFont val="標楷體"/>
        <family val="4"/>
      </rPr>
      <t>(1條/片=1兩)</t>
    </r>
    <r>
      <rPr>
        <sz val="11"/>
        <rFont val="標楷體"/>
        <family val="4"/>
      </rPr>
      <t>、腩肉、排骨、牛展</t>
    </r>
  </si>
  <si>
    <r>
      <t>茶餐廳早餐</t>
    </r>
    <r>
      <rPr>
        <sz val="11"/>
        <rFont val="Times New Roman"/>
        <family val="1"/>
      </rPr>
      <t xml:space="preserve">, </t>
    </r>
    <r>
      <rPr>
        <sz val="11"/>
        <rFont val="標楷體"/>
        <family val="4"/>
      </rPr>
      <t>快餐店早餐:肉粥/肉片湯粉</t>
    </r>
  </si>
  <si>
    <r>
      <t>Time out</t>
    </r>
    <r>
      <rPr>
        <sz val="8"/>
        <color indexed="10"/>
        <rFont val="標楷體"/>
        <family val="4"/>
      </rPr>
      <t>1.5條/</t>
    </r>
    <r>
      <rPr>
        <sz val="6"/>
        <color indexed="10"/>
        <rFont val="標楷體"/>
        <family val="4"/>
      </rPr>
      <t>1份</t>
    </r>
    <r>
      <rPr>
        <sz val="8"/>
        <color indexed="10"/>
        <rFont val="標楷體"/>
        <family val="4"/>
      </rPr>
      <t>;</t>
    </r>
    <r>
      <rPr>
        <sz val="8"/>
        <color indexed="10"/>
        <rFont val="Times New Roman"/>
        <family val="1"/>
      </rPr>
      <t>swiss</t>
    </r>
    <r>
      <rPr>
        <sz val="8"/>
        <color indexed="10"/>
        <rFont val="標楷體"/>
        <family val="4"/>
      </rPr>
      <t>三角朱古力 半條細/</t>
    </r>
    <r>
      <rPr>
        <sz val="6"/>
        <color indexed="10"/>
        <rFont val="標楷體"/>
        <family val="4"/>
      </rPr>
      <t>1份</t>
    </r>
    <r>
      <rPr>
        <sz val="8"/>
        <color indexed="10"/>
        <rFont val="標楷體"/>
        <family val="4"/>
      </rPr>
      <t>;m&amp;m半包/</t>
    </r>
    <r>
      <rPr>
        <sz val="6"/>
        <color indexed="10"/>
        <rFont val="標楷體"/>
        <family val="4"/>
      </rPr>
      <t>1份</t>
    </r>
    <r>
      <rPr>
        <sz val="8"/>
        <color indexed="10"/>
        <rFont val="標楷體"/>
        <family val="4"/>
      </rPr>
      <t>,</t>
    </r>
    <r>
      <rPr>
        <sz val="8"/>
        <color indexed="10"/>
        <rFont val="Times New Roman"/>
        <family val="1"/>
      </rPr>
      <t>kitkat</t>
    </r>
    <r>
      <rPr>
        <sz val="8"/>
        <color indexed="10"/>
        <rFont val="標楷體"/>
        <family val="4"/>
      </rPr>
      <t>2條半/</t>
    </r>
    <r>
      <rPr>
        <sz val="6"/>
        <color indexed="10"/>
        <rFont val="標楷體"/>
        <family val="4"/>
      </rPr>
      <t>1份</t>
    </r>
    <r>
      <rPr>
        <sz val="8"/>
        <color indexed="10"/>
        <rFont val="標楷體"/>
        <family val="4"/>
      </rPr>
      <t>)</t>
    </r>
  </si>
  <si>
    <r>
      <t>最近</t>
    </r>
    <r>
      <rPr>
        <b/>
        <sz val="9"/>
        <color indexed="10"/>
        <rFont val="標楷體"/>
        <family val="4"/>
      </rPr>
      <t>一至兩個月內</t>
    </r>
    <r>
      <rPr>
        <b/>
        <sz val="9"/>
        <rFont val="標楷體"/>
        <family val="4"/>
      </rPr>
      <t>, 你有沒有進食以下食物? 若有的話，請填上你進食的次數及份量</t>
    </r>
  </si>
  <si>
    <t>次</t>
  </si>
  <si>
    <r>
      <t>杯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片</t>
    </r>
  </si>
  <si>
    <r>
      <t xml:space="preserve">食油: </t>
    </r>
    <r>
      <rPr>
        <sz val="14"/>
        <rFont val="標楷體"/>
        <family val="4"/>
      </rPr>
      <t>口</t>
    </r>
    <r>
      <rPr>
        <sz val="11"/>
        <rFont val="標楷體"/>
        <family val="4"/>
      </rPr>
      <t>粟米油</t>
    </r>
  </si>
  <si>
    <r>
      <t xml:space="preserve"> </t>
    </r>
    <r>
      <rPr>
        <sz val="14"/>
        <rFont val="標楷體"/>
        <family val="4"/>
      </rPr>
      <t>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花生油 </t>
    </r>
    <r>
      <rPr>
        <sz val="11"/>
        <rFont val="Times New Roman"/>
        <family val="1"/>
      </rPr>
      <t xml:space="preserve">   </t>
    </r>
    <r>
      <rPr>
        <sz val="14"/>
        <rFont val="標楷體"/>
        <family val="4"/>
      </rPr>
      <t>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橄欖油 </t>
    </r>
    <r>
      <rPr>
        <sz val="11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口</t>
    </r>
    <r>
      <rPr>
        <sz val="11"/>
        <rFont val="標楷體"/>
        <family val="4"/>
      </rPr>
      <t>芥花籽油</t>
    </r>
  </si>
  <si>
    <t>(17-30)</t>
  </si>
  <si>
    <t>(20)</t>
  </si>
  <si>
    <r>
      <t>即食麵</t>
    </r>
    <r>
      <rPr>
        <sz val="11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( 1</t>
    </r>
    <r>
      <rPr>
        <sz val="8"/>
        <color indexed="10"/>
        <rFont val="標楷體"/>
        <family val="4"/>
      </rPr>
      <t>個即食麵</t>
    </r>
    <r>
      <rPr>
        <sz val="8"/>
        <color indexed="10"/>
        <rFont val="Times New Roman"/>
        <family val="1"/>
      </rPr>
      <t>/1.5</t>
    </r>
    <r>
      <rPr>
        <sz val="8"/>
        <color indexed="10"/>
        <rFont val="標楷體"/>
        <family val="4"/>
      </rPr>
      <t>碗</t>
    </r>
    <r>
      <rPr>
        <sz val="8"/>
        <color indexed="10"/>
        <rFont val="Times New Roman"/>
        <family val="1"/>
      </rPr>
      <t xml:space="preserve"> )</t>
    </r>
    <r>
      <rPr>
        <sz val="11"/>
        <rFont val="標楷體"/>
        <family val="4"/>
      </rPr>
      <t>、杯麵</t>
    </r>
  </si>
  <si>
    <t>備註</t>
  </si>
  <si>
    <t>*</t>
  </si>
  <si>
    <r>
      <t>油麵、伊麵、炒粉麵、炒飯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、意大利薄餅、中蝦</t>
    </r>
  </si>
  <si>
    <r>
      <t>如每星期有吃以下食物</t>
    </r>
    <r>
      <rPr>
        <sz val="11"/>
        <rFont val="Times New Roman"/>
        <family val="1"/>
      </rPr>
      <t xml:space="preserve">, </t>
    </r>
    <r>
      <rPr>
        <sz val="11"/>
        <rFont val="標楷體"/>
        <family val="4"/>
      </rPr>
      <t>要在午餐或晚餐的肉類中扣減所吃的次數</t>
    </r>
    <r>
      <rPr>
        <sz val="11"/>
        <rFont val="Times New Roman"/>
        <family val="1"/>
      </rPr>
      <t>:</t>
    </r>
  </si>
  <si>
    <t>平日</t>
  </si>
  <si>
    <r>
      <t>茶樓、茶餐廳、快餐</t>
    </r>
    <r>
      <rPr>
        <sz val="11"/>
        <rFont val="Times New Roman"/>
        <family val="1"/>
      </rPr>
      <t xml:space="preserve"> </t>
    </r>
  </si>
  <si>
    <r>
      <t>請問你其餘五天有沒有出外進食？</t>
    </r>
    <r>
      <rPr>
        <b/>
        <sz val="12"/>
        <rFont val="Times New Roman"/>
        <family val="1"/>
      </rPr>
      <t xml:space="preserve"> </t>
    </r>
  </si>
  <si>
    <r>
      <t>如平日已計算去茶樓、茶餐廳、快餐的食物</t>
    </r>
    <r>
      <rPr>
        <sz val="11"/>
        <rFont val="Times New Roman"/>
        <family val="1"/>
      </rPr>
      <t xml:space="preserve">, </t>
    </r>
    <r>
      <rPr>
        <sz val="11"/>
        <rFont val="標楷體"/>
        <family val="4"/>
      </rPr>
      <t>在問其餘五天有沒有出外進食</t>
    </r>
    <r>
      <rPr>
        <b/>
        <u val="single"/>
        <sz val="11"/>
        <rFont val="標楷體"/>
        <family val="4"/>
      </rPr>
      <t>早餐</t>
    </r>
    <r>
      <rPr>
        <sz val="11"/>
        <rFont val="標楷體"/>
        <family val="4"/>
      </rPr>
      <t>一欄便不用加油</t>
    </r>
  </si>
  <si>
    <t>.</t>
  </si>
  <si>
    <t>多元</t>
  </si>
  <si>
    <t>?</t>
  </si>
  <si>
    <t>Revised 05/2006</t>
  </si>
</sst>
</file>

<file path=xl/styles.xml><?xml version="1.0" encoding="utf-8"?>
<styleSheet xmlns="http://schemas.openxmlformats.org/spreadsheetml/2006/main">
  <numFmts count="5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_);[Red]\(0.0\)"/>
    <numFmt numFmtId="201" formatCode="\2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_);[Red]\(0\)"/>
    <numFmt numFmtId="207" formatCode="0.000000_);[Red]\(0.000000\)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0000000_);[Red]\(0.000000000000\)"/>
    <numFmt numFmtId="214" formatCode="0.0000000000000_);[Red]\(0.0000000000000\)"/>
    <numFmt numFmtId="215" formatCode="0.00_ "/>
  </numFmts>
  <fonts count="64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標楷體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b/>
      <sz val="13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b/>
      <sz val="8"/>
      <name val="標楷體"/>
      <family val="4"/>
    </font>
    <font>
      <sz val="8"/>
      <name val="標楷體"/>
      <family val="4"/>
    </font>
    <font>
      <b/>
      <sz val="13"/>
      <name val="Times New Roman"/>
      <family val="1"/>
    </font>
    <font>
      <b/>
      <sz val="9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7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8"/>
      <name val="Arial"/>
      <family val="2"/>
    </font>
    <font>
      <sz val="11"/>
      <color indexed="8"/>
      <name val="標楷體"/>
      <family val="4"/>
    </font>
    <font>
      <sz val="8"/>
      <color indexed="10"/>
      <name val="標楷體"/>
      <family val="4"/>
    </font>
    <font>
      <sz val="8"/>
      <color indexed="10"/>
      <name val="Times New Roman"/>
      <family val="1"/>
    </font>
    <font>
      <sz val="11"/>
      <color indexed="10"/>
      <name val="標楷體"/>
      <family val="4"/>
    </font>
    <font>
      <sz val="8"/>
      <color indexed="8"/>
      <name val="標楷體"/>
      <family val="4"/>
    </font>
    <font>
      <sz val="11"/>
      <name val="新細明體"/>
      <family val="1"/>
    </font>
    <font>
      <sz val="6"/>
      <color indexed="10"/>
      <name val="標楷體"/>
      <family val="4"/>
    </font>
    <font>
      <sz val="7"/>
      <color indexed="10"/>
      <name val="標楷體"/>
      <family val="4"/>
    </font>
    <font>
      <b/>
      <sz val="9"/>
      <color indexed="10"/>
      <name val="標楷體"/>
      <family val="4"/>
    </font>
    <font>
      <sz val="7"/>
      <name val="Times New Roman"/>
      <family val="1"/>
    </font>
    <font>
      <b/>
      <sz val="14"/>
      <color indexed="8"/>
      <name val="標楷體"/>
      <family val="4"/>
    </font>
    <font>
      <sz val="10"/>
      <color indexed="8"/>
      <name val="Arial"/>
      <family val="2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8"/>
      <color indexed="8"/>
      <name val="標楷體"/>
      <family val="4"/>
    </font>
    <font>
      <sz val="8"/>
      <color indexed="8"/>
      <name val="Times New Roman"/>
      <family val="1"/>
    </font>
    <font>
      <sz val="7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b/>
      <sz val="7"/>
      <color indexed="8"/>
      <name val="標楷體"/>
      <family val="4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1"/>
      <name val="標楷體"/>
      <family val="4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標楷體"/>
      <family val="4"/>
    </font>
    <font>
      <sz val="8"/>
      <color indexed="12"/>
      <name val="標楷體"/>
      <family val="4"/>
    </font>
    <font>
      <sz val="8"/>
      <color indexed="8"/>
      <name val="Arial"/>
      <family val="2"/>
    </font>
    <font>
      <sz val="16"/>
      <color indexed="8"/>
      <name val="標楷體"/>
      <family val="4"/>
    </font>
    <font>
      <b/>
      <sz val="10"/>
      <color indexed="8"/>
      <name val="標楷體"/>
      <family val="4"/>
    </font>
    <font>
      <b/>
      <sz val="8"/>
      <color indexed="8"/>
      <name val="Times New Roman"/>
      <family val="1"/>
    </font>
    <font>
      <u val="single"/>
      <sz val="8"/>
      <color indexed="8"/>
      <name val="Arial"/>
      <family val="2"/>
    </font>
    <font>
      <u val="single"/>
      <sz val="8"/>
      <color indexed="8"/>
      <name val="標楷體"/>
      <family val="4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2" fillId="2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2" fillId="2" borderId="10" xfId="0" applyFont="1" applyFill="1" applyBorder="1" applyAlignment="1">
      <alignment horizontal="right"/>
    </xf>
    <xf numFmtId="0" fontId="12" fillId="2" borderId="9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12" fillId="2" borderId="14" xfId="0" applyFont="1" applyFill="1" applyBorder="1" applyAlignment="1">
      <alignment horizontal="right"/>
    </xf>
    <xf numFmtId="0" fontId="12" fillId="2" borderId="13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2" fillId="2" borderId="21" xfId="0" applyFont="1" applyFill="1" applyBorder="1" applyAlignment="1">
      <alignment horizontal="right"/>
    </xf>
    <xf numFmtId="0" fontId="17" fillId="2" borderId="22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0" fontId="12" fillId="2" borderId="5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17" fillId="2" borderId="28" xfId="0" applyFont="1" applyFill="1" applyBorder="1" applyAlignment="1">
      <alignment/>
    </xf>
    <xf numFmtId="0" fontId="9" fillId="2" borderId="29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7" fillId="2" borderId="19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17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9" fillId="2" borderId="3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31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9" fillId="2" borderId="33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0" borderId="23" xfId="0" applyBorder="1" applyAlignment="1">
      <alignment/>
    </xf>
    <xf numFmtId="0" fontId="9" fillId="0" borderId="3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3" xfId="0" applyBorder="1" applyAlignment="1">
      <alignment/>
    </xf>
    <xf numFmtId="0" fontId="12" fillId="3" borderId="0" xfId="0" applyFont="1" applyFill="1" applyAlignment="1">
      <alignment/>
    </xf>
    <xf numFmtId="0" fontId="12" fillId="3" borderId="3" xfId="0" applyFont="1" applyFill="1" applyBorder="1" applyAlignment="1">
      <alignment/>
    </xf>
    <xf numFmtId="0" fontId="9" fillId="0" borderId="2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8" xfId="0" applyFont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9" fillId="0" borderId="3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3" borderId="23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0" fontId="9" fillId="0" borderId="33" xfId="0" applyFont="1" applyBorder="1" applyAlignment="1">
      <alignment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3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8" fillId="0" borderId="0" xfId="0" applyFont="1" applyAlignment="1">
      <alignment/>
    </xf>
    <xf numFmtId="0" fontId="22" fillId="2" borderId="35" xfId="0" applyFont="1" applyFill="1" applyBorder="1" applyAlignment="1">
      <alignment/>
    </xf>
    <xf numFmtId="0" fontId="22" fillId="2" borderId="36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11" fillId="2" borderId="0" xfId="0" applyFont="1" applyFill="1" applyAlignment="1">
      <alignment/>
    </xf>
    <xf numFmtId="1" fontId="2" fillId="2" borderId="37" xfId="0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/>
    </xf>
    <xf numFmtId="1" fontId="3" fillId="2" borderId="44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1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1" fontId="3" fillId="3" borderId="0" xfId="0" applyNumberFormat="1" applyFont="1" applyFill="1" applyAlignment="1">
      <alignment/>
    </xf>
    <xf numFmtId="1" fontId="3" fillId="3" borderId="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1" fontId="3" fillId="3" borderId="18" xfId="0" applyNumberFormat="1" applyFont="1" applyFill="1" applyBorder="1" applyAlignment="1">
      <alignment/>
    </xf>
    <xf numFmtId="1" fontId="3" fillId="3" borderId="8" xfId="0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3" borderId="8" xfId="0" applyFont="1" applyFill="1" applyBorder="1" applyAlignment="1">
      <alignment/>
    </xf>
    <xf numFmtId="1" fontId="3" fillId="3" borderId="23" xfId="0" applyNumberFormat="1" applyFont="1" applyFill="1" applyBorder="1" applyAlignment="1">
      <alignment/>
    </xf>
    <xf numFmtId="1" fontId="3" fillId="3" borderId="24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3" borderId="24" xfId="0" applyFont="1" applyFill="1" applyBorder="1" applyAlignment="1">
      <alignment horizontal="left"/>
    </xf>
    <xf numFmtId="1" fontId="3" fillId="3" borderId="20" xfId="0" applyNumberFormat="1" applyFont="1" applyFill="1" applyBorder="1" applyAlignment="1">
      <alignment/>
    </xf>
    <xf numFmtId="0" fontId="3" fillId="3" borderId="24" xfId="0" applyFont="1" applyFill="1" applyBorder="1" applyAlignment="1">
      <alignment/>
    </xf>
    <xf numFmtId="1" fontId="1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23" xfId="0" applyFont="1" applyBorder="1" applyAlignment="1">
      <alignment/>
    </xf>
    <xf numFmtId="0" fontId="3" fillId="3" borderId="49" xfId="0" applyFont="1" applyFill="1" applyBorder="1" applyAlignment="1">
      <alignment horizontal="center"/>
    </xf>
    <xf numFmtId="0" fontId="9" fillId="0" borderId="50" xfId="0" applyFont="1" applyBorder="1" applyAlignment="1">
      <alignment/>
    </xf>
    <xf numFmtId="0" fontId="17" fillId="2" borderId="15" xfId="0" applyFont="1" applyFill="1" applyBorder="1" applyAlignment="1">
      <alignment/>
    </xf>
    <xf numFmtId="0" fontId="9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3" fillId="3" borderId="4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17" fillId="2" borderId="29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27" fillId="2" borderId="8" xfId="0" applyFont="1" applyFill="1" applyBorder="1" applyAlignment="1">
      <alignment/>
    </xf>
    <xf numFmtId="0" fontId="3" fillId="2" borderId="51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28" fillId="3" borderId="41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/>
    </xf>
    <xf numFmtId="0" fontId="12" fillId="3" borderId="6" xfId="0" applyFont="1" applyFill="1" applyBorder="1" applyAlignment="1">
      <alignment horizontal="right"/>
    </xf>
    <xf numFmtId="0" fontId="12" fillId="3" borderId="5" xfId="0" applyFont="1" applyFill="1" applyBorder="1" applyAlignment="1">
      <alignment/>
    </xf>
    <xf numFmtId="0" fontId="22" fillId="2" borderId="5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8" fillId="2" borderId="18" xfId="0" applyFont="1" applyFill="1" applyBorder="1" applyAlignment="1">
      <alignment/>
    </xf>
    <xf numFmtId="0" fontId="17" fillId="3" borderId="5" xfId="0" applyFont="1" applyFill="1" applyBorder="1" applyAlignment="1">
      <alignment/>
    </xf>
    <xf numFmtId="0" fontId="17" fillId="3" borderId="8" xfId="0" applyFont="1" applyFill="1" applyBorder="1" applyAlignment="1">
      <alignment/>
    </xf>
    <xf numFmtId="0" fontId="17" fillId="3" borderId="13" xfId="0" applyFont="1" applyFill="1" applyBorder="1" applyAlignment="1">
      <alignment/>
    </xf>
    <xf numFmtId="0" fontId="19" fillId="2" borderId="0" xfId="0" applyFont="1" applyFill="1" applyAlignment="1">
      <alignment/>
    </xf>
    <xf numFmtId="1" fontId="3" fillId="2" borderId="37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7" fillId="0" borderId="0" xfId="0" applyFont="1" applyAlignment="1">
      <alignment/>
    </xf>
    <xf numFmtId="0" fontId="38" fillId="2" borderId="0" xfId="0" applyFont="1" applyFill="1" applyAlignment="1">
      <alignment horizontal="center"/>
    </xf>
    <xf numFmtId="0" fontId="37" fillId="0" borderId="0" xfId="0" applyFont="1" applyBorder="1" applyAlignment="1">
      <alignment/>
    </xf>
    <xf numFmtId="0" fontId="30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3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3" borderId="15" xfId="0" applyNumberFormat="1" applyFont="1" applyFill="1" applyBorder="1" applyAlignment="1">
      <alignment/>
    </xf>
    <xf numFmtId="200" fontId="1" fillId="0" borderId="0" xfId="0" applyNumberFormat="1" applyFont="1" applyBorder="1" applyAlignment="1">
      <alignment horizontal="center"/>
    </xf>
    <xf numFmtId="0" fontId="10" fillId="0" borderId="52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200" fontId="35" fillId="2" borderId="36" xfId="0" applyNumberFormat="1" applyFont="1" applyFill="1" applyBorder="1" applyAlignment="1">
      <alignment horizontal="center"/>
    </xf>
    <xf numFmtId="200" fontId="35" fillId="2" borderId="35" xfId="0" applyNumberFormat="1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3" fillId="2" borderId="46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/>
    </xf>
    <xf numFmtId="1" fontId="3" fillId="3" borderId="46" xfId="0" applyNumberFormat="1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3" fillId="2" borderId="40" xfId="0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1" fontId="3" fillId="2" borderId="47" xfId="0" applyNumberFormat="1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1" fontId="3" fillId="2" borderId="38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1" fontId="3" fillId="3" borderId="40" xfId="0" applyNumberFormat="1" applyFont="1" applyFill="1" applyBorder="1" applyAlignment="1">
      <alignment horizontal="center" vertical="center"/>
    </xf>
    <xf numFmtId="1" fontId="3" fillId="2" borderId="38" xfId="0" applyNumberFormat="1" applyFont="1" applyFill="1" applyBorder="1" applyAlignment="1">
      <alignment/>
    </xf>
    <xf numFmtId="1" fontId="3" fillId="3" borderId="40" xfId="0" applyNumberFormat="1" applyFont="1" applyFill="1" applyBorder="1" applyAlignment="1">
      <alignment horizontal="center"/>
    </xf>
    <xf numFmtId="1" fontId="3" fillId="3" borderId="49" xfId="0" applyNumberFormat="1" applyFont="1" applyFill="1" applyBorder="1" applyAlignment="1">
      <alignment horizontal="center"/>
    </xf>
    <xf numFmtId="1" fontId="3" fillId="3" borderId="45" xfId="0" applyNumberFormat="1" applyFont="1" applyFill="1" applyBorder="1" applyAlignment="1">
      <alignment horizontal="center"/>
    </xf>
    <xf numFmtId="1" fontId="3" fillId="2" borderId="49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/>
    </xf>
    <xf numFmtId="0" fontId="25" fillId="3" borderId="15" xfId="0" applyFont="1" applyFill="1" applyBorder="1" applyAlignment="1">
      <alignment/>
    </xf>
    <xf numFmtId="0" fontId="25" fillId="3" borderId="3" xfId="0" applyFont="1" applyFill="1" applyBorder="1" applyAlignment="1">
      <alignment/>
    </xf>
    <xf numFmtId="0" fontId="17" fillId="3" borderId="22" xfId="0" applyFont="1" applyFill="1" applyBorder="1" applyAlignment="1">
      <alignment/>
    </xf>
    <xf numFmtId="0" fontId="17" fillId="3" borderId="7" xfId="0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17" fillId="3" borderId="11" xfId="0" applyFont="1" applyFill="1" applyBorder="1" applyAlignment="1">
      <alignment/>
    </xf>
    <xf numFmtId="0" fontId="3" fillId="0" borderId="0" xfId="0" applyFont="1" applyAlignment="1">
      <alignment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2" fillId="0" borderId="0" xfId="0" applyFont="1" applyAlignment="1">
      <alignment horizontal="center"/>
    </xf>
    <xf numFmtId="0" fontId="54" fillId="4" borderId="56" xfId="0" applyFont="1" applyFill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3" borderId="56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0" fillId="2" borderId="5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41" fillId="0" borderId="0" xfId="0" applyFont="1" applyAlignment="1">
      <alignment/>
    </xf>
    <xf numFmtId="0" fontId="56" fillId="0" borderId="0" xfId="0" applyFont="1" applyAlignment="1">
      <alignment/>
    </xf>
    <xf numFmtId="0" fontId="56" fillId="2" borderId="0" xfId="0" applyFont="1" applyFill="1" applyAlignment="1">
      <alignment horizontal="center"/>
    </xf>
    <xf numFmtId="0" fontId="56" fillId="2" borderId="0" xfId="0" applyFont="1" applyFill="1" applyAlignment="1">
      <alignment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/>
    </xf>
    <xf numFmtId="0" fontId="44" fillId="2" borderId="0" xfId="0" applyFont="1" applyFill="1" applyBorder="1" applyAlignment="1">
      <alignment horizontal="center"/>
    </xf>
    <xf numFmtId="0" fontId="42" fillId="2" borderId="36" xfId="0" applyFont="1" applyFill="1" applyBorder="1" applyAlignment="1">
      <alignment/>
    </xf>
    <xf numFmtId="0" fontId="42" fillId="2" borderId="35" xfId="0" applyFont="1" applyFill="1" applyBorder="1" applyAlignment="1">
      <alignment/>
    </xf>
    <xf numFmtId="0" fontId="30" fillId="2" borderId="36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2" borderId="35" xfId="0" applyFont="1" applyFill="1" applyBorder="1" applyAlignment="1">
      <alignment horizontal="center"/>
    </xf>
    <xf numFmtId="0" fontId="43" fillId="2" borderId="37" xfId="0" applyFont="1" applyFill="1" applyBorder="1" applyAlignment="1">
      <alignment horizontal="center"/>
    </xf>
    <xf numFmtId="0" fontId="43" fillId="2" borderId="38" xfId="0" applyFont="1" applyFill="1" applyBorder="1" applyAlignment="1">
      <alignment horizontal="center"/>
    </xf>
    <xf numFmtId="0" fontId="37" fillId="0" borderId="38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38" xfId="0" applyFont="1" applyBorder="1" applyAlignment="1">
      <alignment/>
    </xf>
    <xf numFmtId="0" fontId="58" fillId="2" borderId="43" xfId="0" applyFont="1" applyFill="1" applyBorder="1" applyAlignment="1">
      <alignment horizontal="center" vertical="center"/>
    </xf>
    <xf numFmtId="0" fontId="58" fillId="2" borderId="49" xfId="0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58" fillId="3" borderId="40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/>
    </xf>
    <xf numFmtId="0" fontId="41" fillId="2" borderId="42" xfId="0" applyFont="1" applyFill="1" applyBorder="1" applyAlignment="1">
      <alignment horizontal="center" vertical="center"/>
    </xf>
    <xf numFmtId="0" fontId="58" fillId="3" borderId="41" xfId="0" applyFont="1" applyFill="1" applyBorder="1" applyAlignment="1">
      <alignment horizontal="center" vertical="center"/>
    </xf>
    <xf numFmtId="0" fontId="58" fillId="3" borderId="42" xfId="0" applyFont="1" applyFill="1" applyBorder="1" applyAlignment="1">
      <alignment horizontal="center" vertical="center"/>
    </xf>
    <xf numFmtId="0" fontId="41" fillId="3" borderId="41" xfId="0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0" fontId="41" fillId="2" borderId="49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1" fillId="2" borderId="38" xfId="0" applyFont="1" applyFill="1" applyBorder="1" applyAlignment="1">
      <alignment horizontal="center" vertical="center"/>
    </xf>
    <xf numFmtId="0" fontId="41" fillId="3" borderId="39" xfId="0" applyFont="1" applyFill="1" applyBorder="1" applyAlignment="1">
      <alignment horizontal="center" vertical="center"/>
    </xf>
    <xf numFmtId="0" fontId="41" fillId="3" borderId="40" xfId="0" applyFont="1" applyFill="1" applyBorder="1" applyAlignment="1">
      <alignment horizontal="center" vertical="center"/>
    </xf>
    <xf numFmtId="0" fontId="30" fillId="3" borderId="41" xfId="0" applyFont="1" applyFill="1" applyBorder="1" applyAlignment="1">
      <alignment/>
    </xf>
    <xf numFmtId="0" fontId="30" fillId="3" borderId="42" xfId="0" applyFont="1" applyFill="1" applyBorder="1" applyAlignment="1">
      <alignment/>
    </xf>
    <xf numFmtId="0" fontId="30" fillId="3" borderId="44" xfId="0" applyFont="1" applyFill="1" applyBorder="1" applyAlignment="1">
      <alignment/>
    </xf>
    <xf numFmtId="0" fontId="30" fillId="3" borderId="47" xfId="0" applyFont="1" applyFill="1" applyBorder="1" applyAlignment="1">
      <alignment/>
    </xf>
    <xf numFmtId="0" fontId="30" fillId="0" borderId="43" xfId="0" applyFont="1" applyBorder="1" applyAlignment="1">
      <alignment/>
    </xf>
    <xf numFmtId="0" fontId="30" fillId="0" borderId="49" xfId="0" applyFont="1" applyBorder="1" applyAlignment="1">
      <alignment/>
    </xf>
    <xf numFmtId="0" fontId="41" fillId="2" borderId="46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0" fontId="30" fillId="3" borderId="46" xfId="0" applyFont="1" applyFill="1" applyBorder="1" applyAlignment="1">
      <alignment/>
    </xf>
    <xf numFmtId="0" fontId="30" fillId="3" borderId="45" xfId="0" applyFont="1" applyFill="1" applyBorder="1" applyAlignment="1">
      <alignment/>
    </xf>
    <xf numFmtId="0" fontId="30" fillId="3" borderId="43" xfId="0" applyFont="1" applyFill="1" applyBorder="1" applyAlignment="1">
      <alignment/>
    </xf>
    <xf numFmtId="0" fontId="30" fillId="5" borderId="40" xfId="0" applyFont="1" applyFill="1" applyBorder="1" applyAlignment="1">
      <alignment/>
    </xf>
    <xf numFmtId="0" fontId="55" fillId="5" borderId="42" xfId="0" applyFont="1" applyFill="1" applyBorder="1" applyAlignment="1">
      <alignment/>
    </xf>
    <xf numFmtId="0" fontId="41" fillId="5" borderId="39" xfId="0" applyFont="1" applyFill="1" applyBorder="1" applyAlignment="1">
      <alignment horizontal="center" vertical="center"/>
    </xf>
    <xf numFmtId="0" fontId="41" fillId="5" borderId="40" xfId="0" applyFont="1" applyFill="1" applyBorder="1" applyAlignment="1">
      <alignment horizontal="center" vertical="center"/>
    </xf>
    <xf numFmtId="0" fontId="41" fillId="3" borderId="45" xfId="0" applyFont="1" applyFill="1" applyBorder="1" applyAlignment="1">
      <alignment horizontal="center" vertical="center"/>
    </xf>
    <xf numFmtId="0" fontId="41" fillId="5" borderId="44" xfId="0" applyFont="1" applyFill="1" applyBorder="1" applyAlignment="1">
      <alignment horizontal="center" vertical="center"/>
    </xf>
    <xf numFmtId="0" fontId="55" fillId="5" borderId="47" xfId="0" applyFont="1" applyFill="1" applyBorder="1" applyAlignment="1">
      <alignment/>
    </xf>
    <xf numFmtId="0" fontId="41" fillId="5" borderId="47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0" fontId="41" fillId="3" borderId="47" xfId="0" applyFont="1" applyFill="1" applyBorder="1" applyAlignment="1">
      <alignment horizontal="center" vertical="center"/>
    </xf>
    <xf numFmtId="0" fontId="55" fillId="0" borderId="49" xfId="0" applyFont="1" applyBorder="1" applyAlignment="1">
      <alignment/>
    </xf>
    <xf numFmtId="0" fontId="58" fillId="2" borderId="39" xfId="0" applyFont="1" applyFill="1" applyBorder="1" applyAlignment="1">
      <alignment horizontal="center" vertical="center"/>
    </xf>
    <xf numFmtId="0" fontId="58" fillId="2" borderId="40" xfId="0" applyFont="1" applyFill="1" applyBorder="1" applyAlignment="1">
      <alignment horizontal="center" vertical="center"/>
    </xf>
    <xf numFmtId="0" fontId="58" fillId="2" borderId="44" xfId="0" applyFont="1" applyFill="1" applyBorder="1" applyAlignment="1">
      <alignment horizontal="center" vertical="center"/>
    </xf>
    <xf numFmtId="0" fontId="58" fillId="2" borderId="47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4" fillId="0" borderId="23" xfId="0" applyFont="1" applyBorder="1" applyAlignment="1">
      <alignment/>
    </xf>
    <xf numFmtId="0" fontId="44" fillId="0" borderId="0" xfId="0" applyFont="1" applyBorder="1" applyAlignment="1">
      <alignment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/>
    </xf>
    <xf numFmtId="0" fontId="41" fillId="2" borderId="37" xfId="0" applyFont="1" applyFill="1" applyBorder="1" applyAlignment="1">
      <alignment/>
    </xf>
    <xf numFmtId="0" fontId="41" fillId="2" borderId="49" xfId="0" applyFont="1" applyFill="1" applyBorder="1" applyAlignment="1">
      <alignment/>
    </xf>
    <xf numFmtId="0" fontId="41" fillId="2" borderId="43" xfId="0" applyFont="1" applyFill="1" applyBorder="1" applyAlignment="1">
      <alignment/>
    </xf>
    <xf numFmtId="0" fontId="55" fillId="0" borderId="38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2" borderId="37" xfId="0" applyFont="1" applyFill="1" applyBorder="1" applyAlignment="1">
      <alignment horizontal="center"/>
    </xf>
    <xf numFmtId="0" fontId="30" fillId="2" borderId="38" xfId="0" applyFont="1" applyFill="1" applyBorder="1" applyAlignment="1">
      <alignment/>
    </xf>
    <xf numFmtId="0" fontId="41" fillId="2" borderId="39" xfId="0" applyFont="1" applyFill="1" applyBorder="1" applyAlignment="1">
      <alignment horizontal="center"/>
    </xf>
    <xf numFmtId="0" fontId="41" fillId="3" borderId="40" xfId="0" applyFont="1" applyFill="1" applyBorder="1" applyAlignment="1">
      <alignment horizontal="center"/>
    </xf>
    <xf numFmtId="0" fontId="55" fillId="3" borderId="40" xfId="0" applyFont="1" applyFill="1" applyBorder="1" applyAlignment="1">
      <alignment/>
    </xf>
    <xf numFmtId="0" fontId="41" fillId="3" borderId="39" xfId="0" applyFont="1" applyFill="1" applyBorder="1" applyAlignment="1">
      <alignment horizontal="center"/>
    </xf>
    <xf numFmtId="0" fontId="30" fillId="3" borderId="40" xfId="0" applyFont="1" applyFill="1" applyBorder="1" applyAlignment="1">
      <alignment/>
    </xf>
    <xf numFmtId="0" fontId="41" fillId="2" borderId="41" xfId="0" applyFont="1" applyFill="1" applyBorder="1" applyAlignment="1">
      <alignment horizontal="center"/>
    </xf>
    <xf numFmtId="0" fontId="41" fillId="3" borderId="42" xfId="0" applyFont="1" applyFill="1" applyBorder="1" applyAlignment="1">
      <alignment horizontal="center"/>
    </xf>
    <xf numFmtId="0" fontId="55" fillId="3" borderId="42" xfId="0" applyFont="1" applyFill="1" applyBorder="1" applyAlignment="1">
      <alignment/>
    </xf>
    <xf numFmtId="0" fontId="41" fillId="3" borderId="41" xfId="0" applyFont="1" applyFill="1" applyBorder="1" applyAlignment="1">
      <alignment horizontal="center"/>
    </xf>
    <xf numFmtId="0" fontId="41" fillId="2" borderId="43" xfId="0" applyFont="1" applyFill="1" applyBorder="1" applyAlignment="1">
      <alignment horizontal="center"/>
    </xf>
    <xf numFmtId="0" fontId="41" fillId="3" borderId="49" xfId="0" applyFont="1" applyFill="1" applyBorder="1" applyAlignment="1">
      <alignment horizontal="center"/>
    </xf>
    <xf numFmtId="0" fontId="41" fillId="2" borderId="46" xfId="0" applyFont="1" applyFill="1" applyBorder="1" applyAlignment="1">
      <alignment horizontal="center"/>
    </xf>
    <xf numFmtId="0" fontId="41" fillId="3" borderId="45" xfId="0" applyFont="1" applyFill="1" applyBorder="1" applyAlignment="1">
      <alignment horizontal="center"/>
    </xf>
    <xf numFmtId="0" fontId="55" fillId="3" borderId="47" xfId="0" applyFont="1" applyFill="1" applyBorder="1" applyAlignment="1">
      <alignment/>
    </xf>
    <xf numFmtId="0" fontId="41" fillId="2" borderId="44" xfId="0" applyFont="1" applyFill="1" applyBorder="1" applyAlignment="1">
      <alignment horizontal="center"/>
    </xf>
    <xf numFmtId="0" fontId="41" fillId="2" borderId="49" xfId="0" applyFont="1" applyFill="1" applyBorder="1" applyAlignment="1">
      <alignment horizontal="center"/>
    </xf>
    <xf numFmtId="0" fontId="55" fillId="2" borderId="38" xfId="0" applyFont="1" applyFill="1" applyBorder="1" applyAlignment="1">
      <alignment/>
    </xf>
    <xf numFmtId="0" fontId="41" fillId="2" borderId="37" xfId="0" applyFont="1" applyFill="1" applyBorder="1" applyAlignment="1">
      <alignment horizontal="center"/>
    </xf>
    <xf numFmtId="0" fontId="30" fillId="2" borderId="3" xfId="0" applyFont="1" applyFill="1" applyBorder="1" applyAlignment="1">
      <alignment/>
    </xf>
    <xf numFmtId="0" fontId="41" fillId="3" borderId="51" xfId="0" applyFont="1" applyFill="1" applyBorder="1" applyAlignment="1">
      <alignment horizontal="center"/>
    </xf>
    <xf numFmtId="0" fontId="41" fillId="3" borderId="48" xfId="0" applyFont="1" applyFill="1" applyBorder="1" applyAlignment="1">
      <alignment horizontal="center"/>
    </xf>
    <xf numFmtId="0" fontId="41" fillId="2" borderId="51" xfId="0" applyFont="1" applyFill="1" applyBorder="1" applyAlignment="1">
      <alignment horizontal="center"/>
    </xf>
    <xf numFmtId="0" fontId="41" fillId="3" borderId="47" xfId="0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 vertical="top"/>
    </xf>
    <xf numFmtId="0" fontId="41" fillId="0" borderId="37" xfId="0" applyFont="1" applyBorder="1" applyAlignment="1">
      <alignment horizontal="center"/>
    </xf>
    <xf numFmtId="0" fontId="41" fillId="3" borderId="38" xfId="0" applyFont="1" applyFill="1" applyBorder="1" applyAlignment="1">
      <alignment/>
    </xf>
    <xf numFmtId="0" fontId="55" fillId="3" borderId="38" xfId="0" applyFont="1" applyFill="1" applyBorder="1" applyAlignment="1">
      <alignment/>
    </xf>
    <xf numFmtId="0" fontId="55" fillId="3" borderId="15" xfId="0" applyFont="1" applyFill="1" applyBorder="1" applyAlignment="1">
      <alignment/>
    </xf>
    <xf numFmtId="0" fontId="55" fillId="3" borderId="3" xfId="0" applyFont="1" applyFill="1" applyBorder="1" applyAlignment="1">
      <alignment/>
    </xf>
    <xf numFmtId="0" fontId="55" fillId="3" borderId="50" xfId="0" applyFont="1" applyFill="1" applyBorder="1" applyAlignment="1">
      <alignment/>
    </xf>
    <xf numFmtId="0" fontId="41" fillId="0" borderId="41" xfId="0" applyFont="1" applyBorder="1" applyAlignment="1">
      <alignment horizontal="center"/>
    </xf>
    <xf numFmtId="0" fontId="41" fillId="3" borderId="42" xfId="0" applyFont="1" applyFill="1" applyBorder="1" applyAlignment="1">
      <alignment/>
    </xf>
    <xf numFmtId="0" fontId="30" fillId="3" borderId="7" xfId="0" applyFont="1" applyFill="1" applyBorder="1" applyAlignment="1">
      <alignment/>
    </xf>
    <xf numFmtId="0" fontId="30" fillId="3" borderId="8" xfId="0" applyFont="1" applyFill="1" applyBorder="1" applyAlignment="1">
      <alignment/>
    </xf>
    <xf numFmtId="0" fontId="41" fillId="0" borderId="46" xfId="0" applyFont="1" applyBorder="1" applyAlignment="1">
      <alignment horizontal="center"/>
    </xf>
    <xf numFmtId="0" fontId="41" fillId="3" borderId="45" xfId="0" applyFont="1" applyFill="1" applyBorder="1" applyAlignment="1">
      <alignment horizontal="left"/>
    </xf>
    <xf numFmtId="0" fontId="55" fillId="3" borderId="45" xfId="0" applyFont="1" applyFill="1" applyBorder="1" applyAlignment="1">
      <alignment/>
    </xf>
    <xf numFmtId="0" fontId="30" fillId="3" borderId="22" xfId="0" applyFont="1" applyFill="1" applyBorder="1" applyAlignment="1">
      <alignment/>
    </xf>
    <xf numFmtId="0" fontId="55" fillId="3" borderId="24" xfId="0" applyFont="1" applyFill="1" applyBorder="1" applyAlignment="1">
      <alignment/>
    </xf>
    <xf numFmtId="0" fontId="55" fillId="3" borderId="22" xfId="0" applyFont="1" applyFill="1" applyBorder="1" applyAlignment="1">
      <alignment/>
    </xf>
    <xf numFmtId="0" fontId="55" fillId="3" borderId="13" xfId="0" applyFont="1" applyFill="1" applyBorder="1" applyAlignment="1">
      <alignment/>
    </xf>
    <xf numFmtId="0" fontId="41" fillId="0" borderId="43" xfId="0" applyFont="1" applyBorder="1" applyAlignment="1">
      <alignment horizontal="center"/>
    </xf>
    <xf numFmtId="0" fontId="41" fillId="3" borderId="49" xfId="0" applyFont="1" applyFill="1" applyBorder="1" applyAlignment="1">
      <alignment/>
    </xf>
    <xf numFmtId="0" fontId="30" fillId="3" borderId="4" xfId="0" applyFont="1" applyFill="1" applyBorder="1" applyAlignment="1">
      <alignment/>
    </xf>
    <xf numFmtId="0" fontId="30" fillId="3" borderId="5" xfId="0" applyFont="1" applyFill="1" applyBorder="1" applyAlignment="1">
      <alignment/>
    </xf>
    <xf numFmtId="0" fontId="30" fillId="3" borderId="50" xfId="0" applyFont="1" applyFill="1" applyBorder="1" applyAlignment="1">
      <alignment/>
    </xf>
    <xf numFmtId="0" fontId="41" fillId="3" borderId="45" xfId="0" applyFont="1" applyFill="1" applyBorder="1" applyAlignment="1">
      <alignment/>
    </xf>
    <xf numFmtId="0" fontId="30" fillId="3" borderId="11" xfId="0" applyFont="1" applyFill="1" applyBorder="1" applyAlignment="1">
      <alignment/>
    </xf>
    <xf numFmtId="0" fontId="30" fillId="3" borderId="13" xfId="0" applyFont="1" applyFill="1" applyBorder="1" applyAlignment="1">
      <alignment/>
    </xf>
    <xf numFmtId="0" fontId="59" fillId="3" borderId="42" xfId="0" applyFont="1" applyFill="1" applyBorder="1" applyAlignment="1">
      <alignment/>
    </xf>
    <xf numFmtId="0" fontId="60" fillId="3" borderId="7" xfId="0" applyFont="1" applyFill="1" applyBorder="1" applyAlignment="1">
      <alignment/>
    </xf>
    <xf numFmtId="0" fontId="60" fillId="3" borderId="8" xfId="0" applyFont="1" applyFill="1" applyBorder="1" applyAlignment="1">
      <alignment/>
    </xf>
    <xf numFmtId="200" fontId="61" fillId="2" borderId="36" xfId="0" applyNumberFormat="1" applyFont="1" applyFill="1" applyBorder="1" applyAlignment="1">
      <alignment horizontal="center"/>
    </xf>
    <xf numFmtId="200" fontId="61" fillId="2" borderId="35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/>
    </xf>
    <xf numFmtId="0" fontId="41" fillId="0" borderId="0" xfId="0" applyFont="1" applyAlignment="1">
      <alignment/>
    </xf>
    <xf numFmtId="1" fontId="41" fillId="2" borderId="39" xfId="0" applyNumberFormat="1" applyFont="1" applyFill="1" applyBorder="1" applyAlignment="1">
      <alignment horizontal="center"/>
    </xf>
    <xf numFmtId="1" fontId="3" fillId="2" borderId="51" xfId="0" applyNumberFormat="1" applyFont="1" applyFill="1" applyBorder="1" applyAlignment="1">
      <alignment horizontal="center" vertical="center"/>
    </xf>
    <xf numFmtId="1" fontId="3" fillId="2" borderId="48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15" fillId="2" borderId="19" xfId="0" applyFont="1" applyFill="1" applyBorder="1" applyAlignment="1">
      <alignment/>
    </xf>
    <xf numFmtId="0" fontId="45" fillId="2" borderId="5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45" fillId="2" borderId="52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6" fillId="2" borderId="53" xfId="0" applyFont="1" applyFill="1" applyBorder="1" applyAlignment="1">
      <alignment horizontal="center"/>
    </xf>
    <xf numFmtId="0" fontId="19" fillId="2" borderId="5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53" xfId="0" applyFont="1" applyFill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5" fillId="2" borderId="15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0" xfId="0" applyFont="1" applyBorder="1" applyAlignment="1">
      <alignment/>
    </xf>
    <xf numFmtId="0" fontId="40" fillId="2" borderId="52" xfId="0" applyFont="1" applyFill="1" applyBorder="1" applyAlignment="1">
      <alignment horizontal="center"/>
    </xf>
    <xf numFmtId="0" fontId="40" fillId="2" borderId="5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5" fillId="0" borderId="0" xfId="0" applyFont="1" applyBorder="1" applyAlignment="1" quotePrefix="1">
      <alignment horizontal="left" vertical="top"/>
    </xf>
    <xf numFmtId="0" fontId="55" fillId="0" borderId="0" xfId="0" applyFont="1" applyBorder="1" applyAlignment="1">
      <alignment horizontal="left" vertical="top"/>
    </xf>
    <xf numFmtId="0" fontId="3" fillId="0" borderId="2" xfId="0" applyFont="1" applyBorder="1" applyAlignment="1" quotePrefix="1">
      <alignment horizontal="center" vertical="top"/>
    </xf>
    <xf numFmtId="0" fontId="41" fillId="0" borderId="2" xfId="0" applyFont="1" applyBorder="1" applyAlignment="1">
      <alignment horizontal="center" vertical="top"/>
    </xf>
    <xf numFmtId="0" fontId="50" fillId="0" borderId="2" xfId="0" applyFont="1" applyBorder="1" applyAlignment="1">
      <alignment horizontal="center" vertical="top"/>
    </xf>
    <xf numFmtId="0" fontId="50" fillId="0" borderId="2" xfId="0" applyFont="1" applyBorder="1" applyAlignment="1" quotePrefix="1">
      <alignment horizontal="center" vertical="top"/>
    </xf>
    <xf numFmtId="0" fontId="3" fillId="0" borderId="2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23" xfId="0" applyFont="1" applyFill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5" fillId="0" borderId="2" xfId="0" applyFont="1" applyBorder="1" applyAlignment="1" quotePrefix="1">
      <alignment horizontal="center" vertical="top"/>
    </xf>
    <xf numFmtId="0" fontId="55" fillId="0" borderId="2" xfId="0" applyFont="1" applyBorder="1" applyAlignment="1">
      <alignment horizontal="center" vertical="top"/>
    </xf>
    <xf numFmtId="0" fontId="51" fillId="0" borderId="2" xfId="0" applyFont="1" applyBorder="1" applyAlignment="1" quotePrefix="1">
      <alignment horizontal="center" vertical="top"/>
    </xf>
    <xf numFmtId="0" fontId="51" fillId="0" borderId="2" xfId="0" applyFont="1" applyBorder="1" applyAlignment="1">
      <alignment horizontal="center" vertical="top"/>
    </xf>
    <xf numFmtId="200" fontId="62" fillId="0" borderId="52" xfId="0" applyNumberFormat="1" applyFont="1" applyBorder="1" applyAlignment="1">
      <alignment horizontal="center" vertical="center"/>
    </xf>
    <xf numFmtId="200" fontId="62" fillId="0" borderId="53" xfId="0" applyNumberFormat="1" applyFont="1" applyBorder="1" applyAlignment="1">
      <alignment horizontal="center" vertic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200" fontId="46" fillId="0" borderId="52" xfId="0" applyNumberFormat="1" applyFont="1" applyBorder="1" applyAlignment="1">
      <alignment horizontal="center" vertical="center"/>
    </xf>
    <xf numFmtId="200" fontId="46" fillId="0" borderId="53" xfId="0" applyNumberFormat="1" applyFont="1" applyBorder="1" applyAlignment="1">
      <alignment horizontal="center" vertical="center"/>
    </xf>
    <xf numFmtId="0" fontId="12" fillId="2" borderId="52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7" fillId="2" borderId="52" xfId="0" applyFont="1" applyFill="1" applyBorder="1" applyAlignment="1">
      <alignment horizontal="center"/>
    </xf>
    <xf numFmtId="0" fontId="17" fillId="2" borderId="53" xfId="0" applyFont="1" applyFill="1" applyBorder="1" applyAlignment="1">
      <alignment horizontal="center"/>
    </xf>
    <xf numFmtId="0" fontId="30" fillId="2" borderId="52" xfId="0" applyFont="1" applyFill="1" applyBorder="1" applyAlignment="1">
      <alignment horizontal="center"/>
    </xf>
    <xf numFmtId="0" fontId="30" fillId="2" borderId="53" xfId="0" applyFont="1" applyFill="1" applyBorder="1" applyAlignment="1">
      <alignment horizontal="center"/>
    </xf>
    <xf numFmtId="0" fontId="40" fillId="2" borderId="56" xfId="0" applyFont="1" applyFill="1" applyBorder="1" applyAlignment="1">
      <alignment horizontal="center"/>
    </xf>
    <xf numFmtId="0" fontId="55" fillId="2" borderId="56" xfId="0" applyFont="1" applyFill="1" applyBorder="1" applyAlignment="1">
      <alignment/>
    </xf>
    <xf numFmtId="0" fontId="53" fillId="4" borderId="56" xfId="0" applyFont="1" applyFill="1" applyBorder="1" applyAlignment="1">
      <alignment horizontal="center"/>
    </xf>
    <xf numFmtId="0" fontId="51" fillId="4" borderId="56" xfId="0" applyFont="1" applyFill="1" applyBorder="1" applyAlignment="1">
      <alignment/>
    </xf>
    <xf numFmtId="0" fontId="51" fillId="3" borderId="26" xfId="0" applyFont="1" applyFill="1" applyBorder="1" applyAlignment="1">
      <alignment horizontal="center"/>
    </xf>
    <xf numFmtId="0" fontId="51" fillId="3" borderId="34" xfId="0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5" fillId="2" borderId="2" xfId="0" applyFont="1" applyFill="1" applyBorder="1" applyAlignment="1">
      <alignment horizontal="center" vertical="top"/>
    </xf>
    <xf numFmtId="0" fontId="22" fillId="2" borderId="8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21" fillId="2" borderId="4" xfId="0" applyFont="1" applyFill="1" applyBorder="1" applyAlignment="1" applyProtection="1">
      <alignment horizontal="center"/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55" xfId="0" applyFont="1" applyFill="1" applyBorder="1" applyAlignment="1" applyProtection="1">
      <alignment horizontal="center"/>
      <protection locked="0"/>
    </xf>
    <xf numFmtId="0" fontId="12" fillId="2" borderId="54" xfId="0" applyFont="1" applyFill="1" applyBorder="1" applyAlignment="1" applyProtection="1">
      <alignment horizontal="center"/>
      <protection locked="0"/>
    </xf>
    <xf numFmtId="0" fontId="12" fillId="2" borderId="57" xfId="0" applyFont="1" applyFill="1" applyBorder="1" applyAlignment="1" applyProtection="1">
      <alignment horizontal="center"/>
      <protection locked="0"/>
    </xf>
    <xf numFmtId="0" fontId="12" fillId="3" borderId="55" xfId="0" applyFont="1" applyFill="1" applyBorder="1" applyAlignment="1" applyProtection="1">
      <alignment horizontal="center"/>
      <protection locked="0"/>
    </xf>
    <xf numFmtId="0" fontId="12" fillId="2" borderId="58" xfId="0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Alignment="1" applyProtection="1">
      <alignment horizontal="center"/>
      <protection locked="0"/>
    </xf>
    <xf numFmtId="0" fontId="12" fillId="3" borderId="17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2676525</xdr:colOff>
      <xdr:row>106</xdr:row>
      <xdr:rowOff>0</xdr:rowOff>
    </xdr:from>
    <xdr:to>
      <xdr:col>2</xdr:col>
      <xdr:colOff>2476500</xdr:colOff>
      <xdr:row>106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8862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2695575</xdr:colOff>
      <xdr:row>106</xdr:row>
      <xdr:rowOff>0</xdr:rowOff>
    </xdr:from>
    <xdr:to>
      <xdr:col>2</xdr:col>
      <xdr:colOff>2476500</xdr:colOff>
      <xdr:row>106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90525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2676525</xdr:colOff>
      <xdr:row>106</xdr:row>
      <xdr:rowOff>0</xdr:rowOff>
    </xdr:from>
    <xdr:to>
      <xdr:col>2</xdr:col>
      <xdr:colOff>2476500</xdr:colOff>
      <xdr:row>106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8862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2695575</xdr:colOff>
      <xdr:row>106</xdr:row>
      <xdr:rowOff>0</xdr:rowOff>
    </xdr:from>
    <xdr:to>
      <xdr:col>2</xdr:col>
      <xdr:colOff>2476500</xdr:colOff>
      <xdr:row>106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390525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2676525</xdr:colOff>
      <xdr:row>106</xdr:row>
      <xdr:rowOff>0</xdr:rowOff>
    </xdr:from>
    <xdr:to>
      <xdr:col>2</xdr:col>
      <xdr:colOff>2476500</xdr:colOff>
      <xdr:row>106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38862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106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543425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2695575</xdr:colOff>
      <xdr:row>106</xdr:row>
      <xdr:rowOff>0</xdr:rowOff>
    </xdr:from>
    <xdr:to>
      <xdr:col>2</xdr:col>
      <xdr:colOff>2476500</xdr:colOff>
      <xdr:row>106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390525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4038600" y="2094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tabSelected="1" zoomScaleSheetLayoutView="100" workbookViewId="0" topLeftCell="A1">
      <selection activeCell="D29" sqref="D29"/>
    </sheetView>
  </sheetViews>
  <sheetFormatPr defaultColWidth="9.140625" defaultRowHeight="15" customHeight="1"/>
  <cols>
    <col min="1" max="1" width="1.8515625" style="52" customWidth="1"/>
    <col min="2" max="2" width="16.28125" style="53" customWidth="1"/>
    <col min="3" max="3" width="42.421875" style="53" customWidth="1"/>
    <col min="4" max="4" width="5.140625" style="95" customWidth="1"/>
    <col min="5" max="5" width="2.421875" style="95" customWidth="1"/>
    <col min="6" max="6" width="4.28125" style="95" customWidth="1"/>
    <col min="7" max="7" width="2.7109375" style="95" customWidth="1"/>
    <col min="8" max="8" width="4.28125" style="95" customWidth="1"/>
    <col min="9" max="9" width="3.28125" style="95" customWidth="1"/>
    <col min="10" max="11" width="4.00390625" style="155" hidden="1" customWidth="1"/>
    <col min="12" max="13" width="4.00390625" style="52" hidden="1" customWidth="1"/>
    <col min="14" max="14" width="6.00390625" style="52" hidden="1" customWidth="1"/>
    <col min="15" max="15" width="5.7109375" style="52" hidden="1" customWidth="1"/>
    <col min="16" max="18" width="4.00390625" style="200" hidden="1" customWidth="1"/>
    <col min="19" max="19" width="4.00390625" style="197" hidden="1" customWidth="1"/>
    <col min="20" max="20" width="4.8515625" style="200" hidden="1" customWidth="1"/>
    <col min="21" max="21" width="4.140625" style="200" hidden="1" customWidth="1"/>
    <col min="22" max="22" width="4.8515625" style="387" hidden="1" customWidth="1"/>
    <col min="23" max="23" width="4.8515625" style="389" hidden="1" customWidth="1"/>
    <col min="24" max="24" width="6.140625" style="246" hidden="1" customWidth="1"/>
    <col min="25" max="25" width="5.8515625" style="246" hidden="1" customWidth="1"/>
  </cols>
  <sheetData>
    <row r="1" spans="1:23" ht="13.5" customHeight="1">
      <c r="A1"/>
      <c r="B1" s="397" t="s">
        <v>16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255" t="s">
        <v>153</v>
      </c>
      <c r="U1" s="256"/>
      <c r="V1" s="257"/>
      <c r="W1" s="258"/>
    </row>
    <row r="2" spans="1:23" ht="12" customHeight="1">
      <c r="A2" s="104"/>
      <c r="B2" s="421" t="s">
        <v>17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198"/>
      <c r="T2" s="256"/>
      <c r="U2" s="256"/>
      <c r="V2" s="257"/>
      <c r="W2" s="258"/>
    </row>
    <row r="3" spans="1:23" ht="18" customHeight="1">
      <c r="A3"/>
      <c r="B3" s="156" t="s">
        <v>18</v>
      </c>
      <c r="C3" s="167"/>
      <c r="D3" s="101" t="s">
        <v>19</v>
      </c>
      <c r="E3" s="101"/>
      <c r="F3" s="101"/>
      <c r="G3" s="412"/>
      <c r="H3" s="412"/>
      <c r="I3" s="412"/>
      <c r="J3" s="412"/>
      <c r="K3" s="412"/>
      <c r="L3" s="412"/>
      <c r="M3" s="101" t="s">
        <v>69</v>
      </c>
      <c r="N3" s="101"/>
      <c r="O3" s="423"/>
      <c r="P3" s="423"/>
      <c r="Q3" s="423"/>
      <c r="R3" s="199"/>
      <c r="T3" s="197"/>
      <c r="U3" s="197"/>
      <c r="V3" s="259"/>
      <c r="W3" s="260"/>
    </row>
    <row r="4" spans="1:23" ht="12.75" customHeight="1">
      <c r="A4" s="105"/>
      <c r="B4" s="3"/>
      <c r="C4" s="3"/>
      <c r="D4" s="4"/>
      <c r="E4" s="4"/>
      <c r="F4" s="4"/>
      <c r="G4" s="4"/>
      <c r="H4" s="4"/>
      <c r="I4" s="4"/>
      <c r="J4" s="422" t="s">
        <v>70</v>
      </c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261"/>
      <c r="W4" s="261"/>
    </row>
    <row r="5" spans="1:25" ht="14.25" customHeight="1">
      <c r="A5" s="2"/>
      <c r="B5" s="3"/>
      <c r="C5" s="3"/>
      <c r="D5" s="4"/>
      <c r="E5" s="4"/>
      <c r="F5" s="4"/>
      <c r="G5" s="4"/>
      <c r="H5" s="4"/>
      <c r="I5" s="4"/>
      <c r="J5" s="401" t="s">
        <v>71</v>
      </c>
      <c r="K5" s="403"/>
      <c r="L5" s="399" t="s">
        <v>62</v>
      </c>
      <c r="M5" s="400"/>
      <c r="N5" s="399" t="s">
        <v>63</v>
      </c>
      <c r="O5" s="400"/>
      <c r="P5" s="410" t="s">
        <v>64</v>
      </c>
      <c r="Q5" s="411"/>
      <c r="R5" s="424" t="s">
        <v>127</v>
      </c>
      <c r="S5" s="425"/>
      <c r="T5" s="426" t="s">
        <v>75</v>
      </c>
      <c r="U5" s="427"/>
      <c r="V5" s="447" t="s">
        <v>151</v>
      </c>
      <c r="W5" s="448"/>
      <c r="X5" s="449" t="s">
        <v>151</v>
      </c>
      <c r="Y5" s="450"/>
    </row>
    <row r="6" spans="1:25" ht="14.25" customHeight="1">
      <c r="A6" s="186" t="s">
        <v>134</v>
      </c>
      <c r="B6" s="4"/>
      <c r="C6" s="72"/>
      <c r="D6" s="6"/>
      <c r="E6" s="6"/>
      <c r="F6" s="6"/>
      <c r="G6" s="6"/>
      <c r="H6" s="6"/>
      <c r="I6" s="42"/>
      <c r="J6" s="103" t="s">
        <v>65</v>
      </c>
      <c r="K6" s="102" t="s">
        <v>22</v>
      </c>
      <c r="L6" s="103" t="s">
        <v>65</v>
      </c>
      <c r="M6" s="102" t="s">
        <v>22</v>
      </c>
      <c r="N6" s="103" t="s">
        <v>65</v>
      </c>
      <c r="O6" s="102" t="s">
        <v>22</v>
      </c>
      <c r="P6" s="262" t="s">
        <v>65</v>
      </c>
      <c r="Q6" s="263" t="s">
        <v>22</v>
      </c>
      <c r="R6" s="264" t="s">
        <v>65</v>
      </c>
      <c r="S6" s="265" t="s">
        <v>22</v>
      </c>
      <c r="T6" s="264" t="s">
        <v>65</v>
      </c>
      <c r="U6" s="265" t="s">
        <v>22</v>
      </c>
      <c r="V6" s="264" t="s">
        <v>65</v>
      </c>
      <c r="W6" s="266" t="s">
        <v>22</v>
      </c>
      <c r="X6" s="247" t="s">
        <v>65</v>
      </c>
      <c r="Y6" s="247" t="s">
        <v>22</v>
      </c>
    </row>
    <row r="7" spans="1:25" ht="15.75" customHeight="1">
      <c r="A7" s="406" t="s">
        <v>20</v>
      </c>
      <c r="B7" s="407"/>
      <c r="C7" s="408"/>
      <c r="D7" s="26" t="s">
        <v>21</v>
      </c>
      <c r="E7" s="253"/>
      <c r="F7" s="215" t="s">
        <v>22</v>
      </c>
      <c r="G7" s="9"/>
      <c r="H7" s="8" t="s">
        <v>23</v>
      </c>
      <c r="I7" s="9"/>
      <c r="J7" s="106"/>
      <c r="K7" s="217"/>
      <c r="L7" s="107"/>
      <c r="M7" s="108"/>
      <c r="N7" s="107"/>
      <c r="O7" s="108"/>
      <c r="P7" s="267"/>
      <c r="Q7" s="268"/>
      <c r="R7" s="267"/>
      <c r="S7" s="269"/>
      <c r="T7" s="270"/>
      <c r="U7" s="271"/>
      <c r="V7" s="272"/>
      <c r="W7" s="273"/>
      <c r="X7" s="451">
        <v>0.698</v>
      </c>
      <c r="Y7" s="451">
        <v>0.698</v>
      </c>
    </row>
    <row r="8" spans="1:25" ht="15.75" customHeight="1">
      <c r="A8" s="11"/>
      <c r="B8" s="30" t="s">
        <v>88</v>
      </c>
      <c r="C8" s="12"/>
      <c r="D8" s="460"/>
      <c r="E8" s="13" t="s">
        <v>24</v>
      </c>
      <c r="F8" s="216"/>
      <c r="G8" s="14" t="s">
        <v>24</v>
      </c>
      <c r="H8" s="471"/>
      <c r="I8" s="14" t="s">
        <v>25</v>
      </c>
      <c r="J8" s="109">
        <f aca="true" t="shared" si="0" ref="J8:J13">SUM(D8*H8)</f>
        <v>0</v>
      </c>
      <c r="K8" s="218">
        <f aca="true" t="shared" si="1" ref="K8:K13">SUM(F8*H8)</f>
        <v>0</v>
      </c>
      <c r="L8" s="110">
        <f>SUM(J8*5)</f>
        <v>0</v>
      </c>
      <c r="M8" s="111">
        <f>SUM(K8*5)</f>
        <v>0</v>
      </c>
      <c r="N8" s="110">
        <f>SUM(J8*210)</f>
        <v>0</v>
      </c>
      <c r="O8" s="111">
        <f>SUM(K8*210)</f>
        <v>0</v>
      </c>
      <c r="P8" s="274">
        <f>SUM(J8*1.6)</f>
        <v>0</v>
      </c>
      <c r="Q8" s="275">
        <f>SUM(K8*1.6)</f>
        <v>0</v>
      </c>
      <c r="R8" s="274">
        <f>SUM(J8*2)</f>
        <v>0</v>
      </c>
      <c r="S8" s="275">
        <f>SUM(K8*2)</f>
        <v>0</v>
      </c>
      <c r="T8" s="276"/>
      <c r="U8" s="277"/>
      <c r="V8" s="274">
        <f>SUM(J8*0.698)</f>
        <v>0</v>
      </c>
      <c r="W8" s="275">
        <f>SUM(K8*0.698)</f>
        <v>0</v>
      </c>
      <c r="X8" s="452"/>
      <c r="Y8" s="452"/>
    </row>
    <row r="9" spans="1:25" ht="15.75" customHeight="1">
      <c r="A9" s="15"/>
      <c r="B9" s="32" t="s">
        <v>87</v>
      </c>
      <c r="C9" s="16"/>
      <c r="D9" s="460"/>
      <c r="E9" s="38" t="s">
        <v>24</v>
      </c>
      <c r="F9" s="466"/>
      <c r="G9" s="17" t="s">
        <v>24</v>
      </c>
      <c r="H9" s="471"/>
      <c r="I9" s="17" t="s">
        <v>25</v>
      </c>
      <c r="J9" s="122">
        <f t="shared" si="0"/>
        <v>0</v>
      </c>
      <c r="K9" s="219">
        <f t="shared" si="1"/>
        <v>0</v>
      </c>
      <c r="L9" s="112">
        <f>SUM(J9*1.5)</f>
        <v>0</v>
      </c>
      <c r="M9" s="113">
        <f>SUM(K9*1.5)</f>
        <v>0</v>
      </c>
      <c r="N9" s="112">
        <f>SUM(J9*100)</f>
        <v>0</v>
      </c>
      <c r="O9" s="113">
        <f>SUM(K9*100)</f>
        <v>0</v>
      </c>
      <c r="P9" s="278">
        <f>SUM(J9*0.42)</f>
        <v>0</v>
      </c>
      <c r="Q9" s="279">
        <f>SUM(K9*0.42)</f>
        <v>0</v>
      </c>
      <c r="R9" s="278">
        <f>SUM(J9*0.5)</f>
        <v>0</v>
      </c>
      <c r="S9" s="279">
        <f>SUM(K9*0.5)</f>
        <v>0</v>
      </c>
      <c r="T9" s="280"/>
      <c r="U9" s="281"/>
      <c r="V9" s="278">
        <f>SUM(J9*0.16)</f>
        <v>0</v>
      </c>
      <c r="W9" s="279">
        <f>SUM(K9*0.16)</f>
        <v>0</v>
      </c>
      <c r="X9" s="248">
        <v>0.16</v>
      </c>
      <c r="Y9" s="248">
        <v>0.16</v>
      </c>
    </row>
    <row r="10" spans="1:25" ht="15.75" customHeight="1">
      <c r="A10" s="15"/>
      <c r="B10" s="32" t="s">
        <v>76</v>
      </c>
      <c r="C10" s="16"/>
      <c r="D10" s="460"/>
      <c r="E10" s="38" t="s">
        <v>24</v>
      </c>
      <c r="F10" s="466"/>
      <c r="G10" s="17" t="s">
        <v>24</v>
      </c>
      <c r="H10" s="471"/>
      <c r="I10" s="17" t="s">
        <v>25</v>
      </c>
      <c r="J10" s="122">
        <f t="shared" si="0"/>
        <v>0</v>
      </c>
      <c r="K10" s="219">
        <f t="shared" si="1"/>
        <v>0</v>
      </c>
      <c r="L10" s="112">
        <f>SUM(J10*6.5)</f>
        <v>0</v>
      </c>
      <c r="M10" s="113">
        <f>SUM(K10*6.5)</f>
        <v>0</v>
      </c>
      <c r="N10" s="112">
        <f>SUM(J10*300)</f>
        <v>0</v>
      </c>
      <c r="O10" s="113">
        <f>SUM(K10*300)</f>
        <v>0</v>
      </c>
      <c r="P10" s="278">
        <f>SUM(J10*2)</f>
        <v>0</v>
      </c>
      <c r="Q10" s="279">
        <f>SUM(K10*2)</f>
        <v>0</v>
      </c>
      <c r="R10" s="278">
        <f>SUM(J10*3)</f>
        <v>0</v>
      </c>
      <c r="S10" s="279">
        <f>SUM(K10*3)</f>
        <v>0</v>
      </c>
      <c r="T10" s="280"/>
      <c r="U10" s="281"/>
      <c r="V10" s="278">
        <f>SUM(J10*0.96)</f>
        <v>0</v>
      </c>
      <c r="W10" s="279">
        <f>SUM(K10*0.96)</f>
        <v>0</v>
      </c>
      <c r="X10" s="248">
        <v>0.96</v>
      </c>
      <c r="Y10" s="248">
        <v>0.96</v>
      </c>
    </row>
    <row r="11" spans="1:25" ht="15.75" customHeight="1">
      <c r="A11" s="15"/>
      <c r="B11" s="32" t="s">
        <v>77</v>
      </c>
      <c r="C11" s="16"/>
      <c r="D11" s="460"/>
      <c r="E11" s="38" t="s">
        <v>24</v>
      </c>
      <c r="F11" s="466"/>
      <c r="G11" s="17" t="s">
        <v>24</v>
      </c>
      <c r="H11" s="471"/>
      <c r="I11" s="17" t="s">
        <v>25</v>
      </c>
      <c r="J11" s="122">
        <f t="shared" si="0"/>
        <v>0</v>
      </c>
      <c r="K11" s="219">
        <f t="shared" si="1"/>
        <v>0</v>
      </c>
      <c r="L11" s="112">
        <f>SUM(J11*10)</f>
        <v>0</v>
      </c>
      <c r="M11" s="113">
        <f>SUM(K11*10)</f>
        <v>0</v>
      </c>
      <c r="N11" s="112">
        <f>SUM(J11*480)</f>
        <v>0</v>
      </c>
      <c r="O11" s="113">
        <f>SUM(K11*480)</f>
        <v>0</v>
      </c>
      <c r="P11" s="282">
        <f>SUM(J11*0.609)</f>
        <v>0</v>
      </c>
      <c r="Q11" s="283">
        <f>SUM(K11*0.609)</f>
        <v>0</v>
      </c>
      <c r="R11" s="282">
        <f>SUM(J11*1.077)</f>
        <v>0</v>
      </c>
      <c r="S11" s="283">
        <f>SUM(K11*1.077)</f>
        <v>0</v>
      </c>
      <c r="T11" s="280"/>
      <c r="U11" s="281"/>
      <c r="V11" s="282">
        <f>SUM(J11*0.202)</f>
        <v>0</v>
      </c>
      <c r="W11" s="283">
        <f>SUM(K11*0.202)</f>
        <v>0</v>
      </c>
      <c r="X11" s="249">
        <v>0.202</v>
      </c>
      <c r="Y11" s="249">
        <v>0.202</v>
      </c>
    </row>
    <row r="12" spans="1:25" ht="15.75" customHeight="1">
      <c r="A12" s="15"/>
      <c r="B12" s="16" t="s">
        <v>92</v>
      </c>
      <c r="C12" s="16"/>
      <c r="D12" s="460"/>
      <c r="E12" s="38" t="s">
        <v>24</v>
      </c>
      <c r="F12" s="466"/>
      <c r="G12" s="17" t="s">
        <v>135</v>
      </c>
      <c r="H12" s="471"/>
      <c r="I12" s="17" t="s">
        <v>26</v>
      </c>
      <c r="J12" s="122">
        <f t="shared" si="0"/>
        <v>0</v>
      </c>
      <c r="K12" s="219">
        <f t="shared" si="1"/>
        <v>0</v>
      </c>
      <c r="L12" s="112">
        <f>SUM(J12*15)</f>
        <v>0</v>
      </c>
      <c r="M12" s="113">
        <f>SUM(K12*15)</f>
        <v>0</v>
      </c>
      <c r="N12" s="112">
        <f>SUM(J12*40)</f>
        <v>0</v>
      </c>
      <c r="O12" s="113">
        <f>SUM(K12*40)</f>
        <v>0</v>
      </c>
      <c r="P12" s="278">
        <f>SUM(J12*3)</f>
        <v>0</v>
      </c>
      <c r="Q12" s="279">
        <f>SUM(K12*3)</f>
        <v>0</v>
      </c>
      <c r="R12" s="278">
        <f>SUM(J12*6)</f>
        <v>0</v>
      </c>
      <c r="S12" s="279">
        <f>SUM(K12*6)</f>
        <v>0</v>
      </c>
      <c r="T12" s="278">
        <f>SUM(J12*2)</f>
        <v>0</v>
      </c>
      <c r="U12" s="279">
        <f>SUM(K12*6)</f>
        <v>0</v>
      </c>
      <c r="V12" s="278">
        <f>SUM(J12*4.84)</f>
        <v>0</v>
      </c>
      <c r="W12" s="279">
        <f>SUM(K12*4.84)</f>
        <v>0</v>
      </c>
      <c r="X12" s="248">
        <v>4.84</v>
      </c>
      <c r="Y12" s="248">
        <v>4.84</v>
      </c>
    </row>
    <row r="13" spans="1:25" ht="15.75" customHeight="1">
      <c r="A13" s="21"/>
      <c r="B13" s="22" t="s">
        <v>27</v>
      </c>
      <c r="C13" s="23"/>
      <c r="D13" s="460"/>
      <c r="E13" s="19" t="s">
        <v>24</v>
      </c>
      <c r="F13" s="466"/>
      <c r="G13" s="20" t="s">
        <v>24</v>
      </c>
      <c r="H13" s="471"/>
      <c r="I13" s="20" t="s">
        <v>26</v>
      </c>
      <c r="J13" s="392">
        <f t="shared" si="0"/>
        <v>0</v>
      </c>
      <c r="K13" s="393">
        <f t="shared" si="1"/>
        <v>0</v>
      </c>
      <c r="L13" s="116">
        <f>SUM(J13*8)</f>
        <v>0</v>
      </c>
      <c r="M13" s="127">
        <f>SUM(K13*8)</f>
        <v>0</v>
      </c>
      <c r="N13" s="116">
        <f>SUM(J13*75)</f>
        <v>0</v>
      </c>
      <c r="O13" s="127">
        <f>SUM(K13*75)</f>
        <v>0</v>
      </c>
      <c r="P13" s="284">
        <f>SUM(J13*2)</f>
        <v>0</v>
      </c>
      <c r="Q13" s="285">
        <f>SUM(K13*2)</f>
        <v>0</v>
      </c>
      <c r="R13" s="284">
        <f>SUM(J13*4)</f>
        <v>0</v>
      </c>
      <c r="S13" s="285">
        <f>SUM(K13*4)</f>
        <v>0</v>
      </c>
      <c r="T13" s="284">
        <f>SUM(J13*0.5)</f>
        <v>0</v>
      </c>
      <c r="U13" s="285">
        <f>SUM(K13*0.5)</f>
        <v>0</v>
      </c>
      <c r="V13" s="284">
        <f>SUM(J13*1.05)</f>
        <v>0</v>
      </c>
      <c r="W13" s="285">
        <f>SUM(K13*1.05)</f>
        <v>0</v>
      </c>
      <c r="X13" s="248">
        <v>1.05</v>
      </c>
      <c r="Y13" s="248">
        <v>1.05</v>
      </c>
    </row>
    <row r="14" spans="1:25" ht="14.25" customHeight="1">
      <c r="A14" s="395" t="s">
        <v>0</v>
      </c>
      <c r="B14" s="428"/>
      <c r="C14" s="409"/>
      <c r="D14" s="461"/>
      <c r="E14" s="27"/>
      <c r="F14" s="467"/>
      <c r="G14" s="28"/>
      <c r="H14" s="472"/>
      <c r="I14" s="28"/>
      <c r="J14" s="187"/>
      <c r="K14" s="223"/>
      <c r="L14" s="190"/>
      <c r="M14" s="191"/>
      <c r="N14" s="190"/>
      <c r="O14" s="191"/>
      <c r="P14" s="286"/>
      <c r="Q14" s="287"/>
      <c r="R14" s="286"/>
      <c r="S14" s="287"/>
      <c r="T14" s="286"/>
      <c r="U14" s="287"/>
      <c r="V14" s="288"/>
      <c r="W14" s="289"/>
      <c r="X14" s="451">
        <v>0</v>
      </c>
      <c r="Y14" s="451">
        <v>0</v>
      </c>
    </row>
    <row r="15" spans="1:25" s="211" customFormat="1" ht="15.75" customHeight="1">
      <c r="A15" s="29"/>
      <c r="B15" s="30" t="s">
        <v>141</v>
      </c>
      <c r="C15" s="12"/>
      <c r="D15" s="462"/>
      <c r="E15" s="13" t="s">
        <v>24</v>
      </c>
      <c r="F15" s="466"/>
      <c r="G15" s="14" t="s">
        <v>24</v>
      </c>
      <c r="H15" s="471"/>
      <c r="I15" s="14" t="s">
        <v>28</v>
      </c>
      <c r="J15" s="109">
        <f aca="true" t="shared" si="2" ref="J15:J20">SUM(D15*H15)</f>
        <v>0</v>
      </c>
      <c r="K15" s="218">
        <f aca="true" t="shared" si="3" ref="K15:K20">SUM(F15*H15)</f>
        <v>0</v>
      </c>
      <c r="L15" s="110">
        <f>SUM(J15*14)</f>
        <v>0</v>
      </c>
      <c r="M15" s="111">
        <f>SUM(K15*14)</f>
        <v>0</v>
      </c>
      <c r="N15" s="117"/>
      <c r="O15" s="166"/>
      <c r="P15" s="290"/>
      <c r="Q15" s="291"/>
      <c r="R15" s="290"/>
      <c r="S15" s="291"/>
      <c r="T15" s="290"/>
      <c r="U15" s="291"/>
      <c r="V15" s="290"/>
      <c r="W15" s="291"/>
      <c r="X15" s="452"/>
      <c r="Y15" s="452"/>
    </row>
    <row r="16" spans="1:25" s="211" customFormat="1" ht="15.75" customHeight="1">
      <c r="A16" s="31"/>
      <c r="B16" s="61" t="s">
        <v>112</v>
      </c>
      <c r="C16" s="16"/>
      <c r="D16" s="462"/>
      <c r="E16" s="38" t="s">
        <v>24</v>
      </c>
      <c r="F16" s="466"/>
      <c r="G16" s="17" t="s">
        <v>24</v>
      </c>
      <c r="H16" s="471"/>
      <c r="I16" s="17" t="s">
        <v>28</v>
      </c>
      <c r="J16" s="122">
        <f t="shared" si="2"/>
        <v>0</v>
      </c>
      <c r="K16" s="219">
        <f t="shared" si="3"/>
        <v>0</v>
      </c>
      <c r="L16" s="112">
        <f>SUM(J16*6)</f>
        <v>0</v>
      </c>
      <c r="M16" s="113">
        <f>SUM(K16*6)</f>
        <v>0</v>
      </c>
      <c r="N16" s="112">
        <f>SUM(J16*33)</f>
        <v>0</v>
      </c>
      <c r="O16" s="113">
        <f>SUM(K16*33)</f>
        <v>0</v>
      </c>
      <c r="P16" s="278">
        <f>SUM(J16*0.7)</f>
        <v>0</v>
      </c>
      <c r="Q16" s="279">
        <f>SUM(K16*0.7)</f>
        <v>0</v>
      </c>
      <c r="R16" s="278">
        <f>SUM(J16*1)</f>
        <v>0</v>
      </c>
      <c r="S16" s="279">
        <f>SUM(K16*1)</f>
        <v>0</v>
      </c>
      <c r="T16" s="278">
        <f>SUM(J16*0.85)</f>
        <v>0</v>
      </c>
      <c r="U16" s="279">
        <f>SUM(K16*0.85)</f>
        <v>0</v>
      </c>
      <c r="V16" s="278">
        <f>SUM(J16*1.65)</f>
        <v>0</v>
      </c>
      <c r="W16" s="279">
        <f>SUM(K16*1.65)</f>
        <v>0</v>
      </c>
      <c r="X16" s="248">
        <v>1.65</v>
      </c>
      <c r="Y16" s="248">
        <v>1.65</v>
      </c>
    </row>
    <row r="17" spans="1:25" s="211" customFormat="1" ht="15.75" customHeight="1">
      <c r="A17" s="31"/>
      <c r="B17" s="32" t="s">
        <v>1</v>
      </c>
      <c r="C17" s="16"/>
      <c r="D17" s="462"/>
      <c r="E17" s="38" t="s">
        <v>24</v>
      </c>
      <c r="F17" s="466"/>
      <c r="G17" s="17" t="s">
        <v>24</v>
      </c>
      <c r="H17" s="471"/>
      <c r="I17" s="17" t="s">
        <v>29</v>
      </c>
      <c r="J17" s="122">
        <f t="shared" si="2"/>
        <v>0</v>
      </c>
      <c r="K17" s="219">
        <f t="shared" si="3"/>
        <v>0</v>
      </c>
      <c r="L17" s="112">
        <f aca="true" t="shared" si="4" ref="L17:M20">SUM(J17*10)</f>
        <v>0</v>
      </c>
      <c r="M17" s="113">
        <f t="shared" si="4"/>
        <v>0</v>
      </c>
      <c r="N17" s="112">
        <f>SUM(J17*40)</f>
        <v>0</v>
      </c>
      <c r="O17" s="113">
        <f>SUM(K17*40)</f>
        <v>0</v>
      </c>
      <c r="P17" s="278">
        <f>SUM(J17*2)</f>
        <v>0</v>
      </c>
      <c r="Q17" s="279">
        <f>SUM(K17*2)</f>
        <v>0</v>
      </c>
      <c r="R17" s="282"/>
      <c r="S17" s="283"/>
      <c r="T17" s="282"/>
      <c r="U17" s="283"/>
      <c r="V17" s="282"/>
      <c r="W17" s="283"/>
      <c r="X17" s="249">
        <v>0</v>
      </c>
      <c r="Y17" s="249">
        <v>0</v>
      </c>
    </row>
    <row r="18" spans="1:25" s="211" customFormat="1" ht="15.75" customHeight="1">
      <c r="A18" s="31"/>
      <c r="B18" s="16" t="s">
        <v>103</v>
      </c>
      <c r="C18" s="16"/>
      <c r="D18" s="462"/>
      <c r="E18" s="38" t="s">
        <v>24</v>
      </c>
      <c r="F18" s="466"/>
      <c r="G18" s="17" t="s">
        <v>24</v>
      </c>
      <c r="H18" s="471"/>
      <c r="I18" s="17" t="s">
        <v>29</v>
      </c>
      <c r="J18" s="122">
        <f t="shared" si="2"/>
        <v>0</v>
      </c>
      <c r="K18" s="219">
        <f t="shared" si="3"/>
        <v>0</v>
      </c>
      <c r="L18" s="112">
        <f t="shared" si="4"/>
        <v>0</v>
      </c>
      <c r="M18" s="113">
        <f t="shared" si="4"/>
        <v>0</v>
      </c>
      <c r="N18" s="112">
        <f>SUM(J18*10)</f>
        <v>0</v>
      </c>
      <c r="O18" s="113">
        <f>SUM(K18*10)</f>
        <v>0</v>
      </c>
      <c r="P18" s="278">
        <f>SUM(J18*3)</f>
        <v>0</v>
      </c>
      <c r="Q18" s="279">
        <f>SUM(K18*3)</f>
        <v>0</v>
      </c>
      <c r="R18" s="278">
        <f>SUM(J18*4)</f>
        <v>0</v>
      </c>
      <c r="S18" s="279">
        <f>SUM(K18*4)</f>
        <v>0</v>
      </c>
      <c r="T18" s="278">
        <f>SUM(J18*1)</f>
        <v>0</v>
      </c>
      <c r="U18" s="279">
        <f>SUM(K18*1)</f>
        <v>0</v>
      </c>
      <c r="V18" s="278">
        <f>SUM(J18*0.64)</f>
        <v>0</v>
      </c>
      <c r="W18" s="279">
        <f>SUM(K18*0.64)</f>
        <v>0</v>
      </c>
      <c r="X18" s="248">
        <v>0.64</v>
      </c>
      <c r="Y18" s="248">
        <v>0.64</v>
      </c>
    </row>
    <row r="19" spans="1:25" s="211" customFormat="1" ht="15.75" customHeight="1">
      <c r="A19" s="31"/>
      <c r="B19" s="32" t="s">
        <v>86</v>
      </c>
      <c r="C19" s="172" t="s">
        <v>95</v>
      </c>
      <c r="D19" s="462"/>
      <c r="E19" s="38" t="s">
        <v>24</v>
      </c>
      <c r="F19" s="466"/>
      <c r="G19" s="17" t="s">
        <v>24</v>
      </c>
      <c r="H19" s="471"/>
      <c r="I19" s="17" t="s">
        <v>26</v>
      </c>
      <c r="J19" s="122">
        <f t="shared" si="2"/>
        <v>0</v>
      </c>
      <c r="K19" s="219">
        <f t="shared" si="3"/>
        <v>0</v>
      </c>
      <c r="L19" s="112">
        <f t="shared" si="4"/>
        <v>0</v>
      </c>
      <c r="M19" s="113">
        <f t="shared" si="4"/>
        <v>0</v>
      </c>
      <c r="N19" s="112">
        <f>SUM(J19*25)</f>
        <v>0</v>
      </c>
      <c r="O19" s="113">
        <f>SUM(K19*25)</f>
        <v>0</v>
      </c>
      <c r="P19" s="278">
        <f>SUM(J19*5)</f>
        <v>0</v>
      </c>
      <c r="Q19" s="279">
        <f>SUM(K19*5)</f>
        <v>0</v>
      </c>
      <c r="R19" s="282">
        <f>SUM(J19*4)</f>
        <v>0</v>
      </c>
      <c r="S19" s="283">
        <f>SUM(K19*4)</f>
        <v>0</v>
      </c>
      <c r="T19" s="278">
        <f>SUM(J19*3)</f>
        <v>0</v>
      </c>
      <c r="U19" s="279">
        <f>SUM(K19*3)</f>
        <v>0</v>
      </c>
      <c r="V19" s="282">
        <f>SUM(J19*1)</f>
        <v>0</v>
      </c>
      <c r="W19" s="283">
        <f>SUM(K19*1)</f>
        <v>0</v>
      </c>
      <c r="X19" s="249">
        <v>1</v>
      </c>
      <c r="Y19" s="249">
        <v>1</v>
      </c>
    </row>
    <row r="20" spans="1:25" s="211" customFormat="1" ht="15.75" customHeight="1">
      <c r="A20" s="33"/>
      <c r="B20" s="22" t="s">
        <v>30</v>
      </c>
      <c r="C20" s="23"/>
      <c r="D20" s="462"/>
      <c r="E20" s="19" t="s">
        <v>24</v>
      </c>
      <c r="F20" s="466"/>
      <c r="G20" s="20" t="s">
        <v>24</v>
      </c>
      <c r="H20" s="471"/>
      <c r="I20" s="20" t="s">
        <v>26</v>
      </c>
      <c r="J20" s="392">
        <f t="shared" si="2"/>
        <v>0</v>
      </c>
      <c r="K20" s="220">
        <f t="shared" si="3"/>
        <v>0</v>
      </c>
      <c r="L20" s="116">
        <f t="shared" si="4"/>
        <v>0</v>
      </c>
      <c r="M20" s="127">
        <f t="shared" si="4"/>
        <v>0</v>
      </c>
      <c r="N20" s="118"/>
      <c r="O20" s="163"/>
      <c r="P20" s="284">
        <f>SUM(J20*1.28)</f>
        <v>0</v>
      </c>
      <c r="Q20" s="285">
        <f>SUM(K20*1.28)</f>
        <v>0</v>
      </c>
      <c r="R20" s="284">
        <f>SUM(J20*2)</f>
        <v>0</v>
      </c>
      <c r="S20" s="285">
        <f>SUM(K20*2)</f>
        <v>0</v>
      </c>
      <c r="T20" s="284">
        <f>SUM(J20*0.4)</f>
        <v>0</v>
      </c>
      <c r="U20" s="285">
        <f>SUM(K20*0.4)</f>
        <v>0</v>
      </c>
      <c r="V20" s="284">
        <f>SUM(J20*5.15)</f>
        <v>0</v>
      </c>
      <c r="W20" s="285">
        <f>SUM(K20*5.15)</f>
        <v>0</v>
      </c>
      <c r="X20" s="248">
        <v>5.15</v>
      </c>
      <c r="Y20" s="248">
        <v>5.15</v>
      </c>
    </row>
    <row r="21" spans="1:25" ht="14.25" customHeight="1">
      <c r="A21" s="34" t="s">
        <v>2</v>
      </c>
      <c r="B21" s="5"/>
      <c r="C21" s="35"/>
      <c r="D21" s="461"/>
      <c r="E21" s="27"/>
      <c r="F21" s="467"/>
      <c r="G21" s="28"/>
      <c r="H21" s="472"/>
      <c r="I21" s="28"/>
      <c r="J21" s="187"/>
      <c r="K21" s="221"/>
      <c r="L21" s="190"/>
      <c r="M21" s="191"/>
      <c r="N21" s="190"/>
      <c r="O21" s="191"/>
      <c r="P21" s="286"/>
      <c r="Q21" s="287"/>
      <c r="R21" s="286"/>
      <c r="S21" s="287"/>
      <c r="T21" s="286"/>
      <c r="U21" s="287"/>
      <c r="V21" s="288"/>
      <c r="W21" s="289"/>
      <c r="X21" s="453">
        <v>1.19</v>
      </c>
      <c r="Y21" s="453">
        <v>1.19</v>
      </c>
    </row>
    <row r="22" spans="1:25" ht="15.75" customHeight="1">
      <c r="A22" s="11"/>
      <c r="B22" s="12" t="s">
        <v>85</v>
      </c>
      <c r="C22" s="12"/>
      <c r="D22" s="460"/>
      <c r="E22" s="13" t="s">
        <v>24</v>
      </c>
      <c r="F22" s="466"/>
      <c r="G22" s="14" t="s">
        <v>24</v>
      </c>
      <c r="H22" s="471"/>
      <c r="I22" s="37" t="s">
        <v>31</v>
      </c>
      <c r="J22" s="109">
        <f aca="true" t="shared" si="5" ref="J22:J29">SUM(D22*H22)</f>
        <v>0</v>
      </c>
      <c r="K22" s="218">
        <f aca="true" t="shared" si="6" ref="K22:K29">SUM(F22*H22)</f>
        <v>0</v>
      </c>
      <c r="L22" s="110">
        <f>SUM(J22*3)</f>
        <v>0</v>
      </c>
      <c r="M22" s="111">
        <f>SUM(K22*3)</f>
        <v>0</v>
      </c>
      <c r="N22" s="110">
        <f>SUM(J22*90)</f>
        <v>0</v>
      </c>
      <c r="O22" s="111">
        <f>SUM(K22*90)</f>
        <v>0</v>
      </c>
      <c r="P22" s="274">
        <f>SUM(J22*1)</f>
        <v>0</v>
      </c>
      <c r="Q22" s="275">
        <f>SUM(K22*1)</f>
        <v>0</v>
      </c>
      <c r="R22" s="274">
        <f>SUM(J22*1)</f>
        <v>0</v>
      </c>
      <c r="S22" s="275">
        <f>SUM(K22*1)</f>
        <v>0</v>
      </c>
      <c r="T22" s="290"/>
      <c r="U22" s="291"/>
      <c r="V22" s="274">
        <f>SUM(J22*1.19)</f>
        <v>0</v>
      </c>
      <c r="W22" s="275">
        <f>SUM(K22*1.19)</f>
        <v>0</v>
      </c>
      <c r="X22" s="454"/>
      <c r="Y22" s="454"/>
    </row>
    <row r="23" spans="1:25" ht="15.75" customHeight="1">
      <c r="A23" s="15"/>
      <c r="B23" s="32" t="s">
        <v>120</v>
      </c>
      <c r="C23" s="16"/>
      <c r="D23" s="460"/>
      <c r="E23" s="38" t="s">
        <v>24</v>
      </c>
      <c r="F23" s="466"/>
      <c r="G23" s="17" t="s">
        <v>24</v>
      </c>
      <c r="H23" s="471"/>
      <c r="I23" s="17" t="s">
        <v>83</v>
      </c>
      <c r="J23" s="122">
        <f t="shared" si="5"/>
        <v>0</v>
      </c>
      <c r="K23" s="219">
        <f t="shared" si="6"/>
        <v>0</v>
      </c>
      <c r="L23" s="112">
        <f>SUM(J23*1)</f>
        <v>0</v>
      </c>
      <c r="M23" s="113">
        <f>SUM(K23*1)</f>
        <v>0</v>
      </c>
      <c r="N23" s="112">
        <f>SUM(J23*10)</f>
        <v>0</v>
      </c>
      <c r="O23" s="113">
        <f>SUM(K23*10)</f>
        <v>0</v>
      </c>
      <c r="P23" s="278">
        <f>SUM(J23*0.1)</f>
        <v>0</v>
      </c>
      <c r="Q23" s="279">
        <f>SUM(K23*0.1)</f>
        <v>0</v>
      </c>
      <c r="R23" s="278">
        <f>SUM(J23*0.1)</f>
        <v>0</v>
      </c>
      <c r="S23" s="279">
        <f>SUM(K23*0.1)</f>
        <v>0</v>
      </c>
      <c r="T23" s="282"/>
      <c r="U23" s="283"/>
      <c r="V23" s="278">
        <f>SUM(J23*0.07)</f>
        <v>0</v>
      </c>
      <c r="W23" s="279">
        <f>SUM(K23*0.07)</f>
        <v>0</v>
      </c>
      <c r="X23" s="248">
        <v>0.07</v>
      </c>
      <c r="Y23" s="248">
        <v>0.07</v>
      </c>
    </row>
    <row r="24" spans="1:25" ht="15.75" customHeight="1">
      <c r="A24" s="15"/>
      <c r="B24" s="32" t="s">
        <v>121</v>
      </c>
      <c r="C24" s="16"/>
      <c r="D24" s="460"/>
      <c r="E24" s="38" t="s">
        <v>24</v>
      </c>
      <c r="F24" s="466"/>
      <c r="G24" s="17" t="s">
        <v>24</v>
      </c>
      <c r="H24" s="471"/>
      <c r="I24" s="17" t="s">
        <v>83</v>
      </c>
      <c r="J24" s="122">
        <f t="shared" si="5"/>
        <v>0</v>
      </c>
      <c r="K24" s="219">
        <f t="shared" si="6"/>
        <v>0</v>
      </c>
      <c r="L24" s="112">
        <f>SUM(J24*1)</f>
        <v>0</v>
      </c>
      <c r="M24" s="113">
        <f>SUM(K24*1)</f>
        <v>0</v>
      </c>
      <c r="N24" s="112">
        <f>SUM(J24*30)</f>
        <v>0</v>
      </c>
      <c r="O24" s="113">
        <f>SUM(K24*30)</f>
        <v>0</v>
      </c>
      <c r="P24" s="278">
        <f>SUM(J24*0.4)</f>
        <v>0</v>
      </c>
      <c r="Q24" s="279">
        <f>SUM(K24*0.4)</f>
        <v>0</v>
      </c>
      <c r="R24" s="278">
        <f>SUM(J24*0.2)</f>
        <v>0</v>
      </c>
      <c r="S24" s="279">
        <f>SUM(K24*0.2)</f>
        <v>0</v>
      </c>
      <c r="T24" s="282"/>
      <c r="U24" s="283"/>
      <c r="V24" s="278">
        <f>SUM(J24*0.77)</f>
        <v>0</v>
      </c>
      <c r="W24" s="279">
        <f>SUM(K24*0.77)</f>
        <v>0</v>
      </c>
      <c r="X24" s="248">
        <v>0.77</v>
      </c>
      <c r="Y24" s="248">
        <v>0.77</v>
      </c>
    </row>
    <row r="25" spans="1:25" ht="15.75" customHeight="1">
      <c r="A25" s="15"/>
      <c r="B25" s="32" t="s">
        <v>122</v>
      </c>
      <c r="C25" s="16"/>
      <c r="D25" s="460"/>
      <c r="E25" s="38" t="s">
        <v>24</v>
      </c>
      <c r="F25" s="466"/>
      <c r="G25" s="17" t="s">
        <v>24</v>
      </c>
      <c r="H25" s="471"/>
      <c r="I25" s="17" t="s">
        <v>83</v>
      </c>
      <c r="J25" s="122">
        <f t="shared" si="5"/>
        <v>0</v>
      </c>
      <c r="K25" s="219">
        <f t="shared" si="6"/>
        <v>0</v>
      </c>
      <c r="L25" s="112">
        <f>SUM(J25*0.2)</f>
        <v>0</v>
      </c>
      <c r="M25" s="113">
        <f>SUM(K25*0.2)</f>
        <v>0</v>
      </c>
      <c r="N25" s="112">
        <f>SUM(J25*24)</f>
        <v>0</v>
      </c>
      <c r="O25" s="113">
        <f>SUM(K25*24)</f>
        <v>0</v>
      </c>
      <c r="P25" s="282">
        <f>SUM(J25*0.04)</f>
        <v>0</v>
      </c>
      <c r="Q25" s="283">
        <f>SUM(K25*0.04)</f>
        <v>0</v>
      </c>
      <c r="R25" s="282">
        <f>SUM(J25*0.03)</f>
        <v>0</v>
      </c>
      <c r="S25" s="283">
        <f>SUM(K25*0.03)</f>
        <v>0</v>
      </c>
      <c r="T25" s="282"/>
      <c r="U25" s="283"/>
      <c r="V25" s="278">
        <f>SUM(J25*0.03)</f>
        <v>0</v>
      </c>
      <c r="W25" s="279">
        <f>SUM(K25*0.03)</f>
        <v>0</v>
      </c>
      <c r="X25" s="248">
        <v>0.03</v>
      </c>
      <c r="Y25" s="248">
        <v>0.03</v>
      </c>
    </row>
    <row r="26" spans="1:25" ht="15.75" customHeight="1">
      <c r="A26" s="15"/>
      <c r="B26" s="32" t="s">
        <v>82</v>
      </c>
      <c r="C26" s="16"/>
      <c r="D26" s="460"/>
      <c r="E26" s="38" t="s">
        <v>24</v>
      </c>
      <c r="F26" s="466"/>
      <c r="G26" s="17" t="s">
        <v>24</v>
      </c>
      <c r="H26" s="471"/>
      <c r="I26" s="17" t="s">
        <v>83</v>
      </c>
      <c r="J26" s="122">
        <f t="shared" si="5"/>
        <v>0</v>
      </c>
      <c r="K26" s="219">
        <f t="shared" si="6"/>
        <v>0</v>
      </c>
      <c r="L26" s="112">
        <f>SUM(J26*0.3)</f>
        <v>0</v>
      </c>
      <c r="M26" s="113">
        <f>SUM(K26*0.3)</f>
        <v>0</v>
      </c>
      <c r="N26" s="112">
        <f>SUM(J26*20)</f>
        <v>0</v>
      </c>
      <c r="O26" s="113">
        <f>SUM(K26*20)</f>
        <v>0</v>
      </c>
      <c r="P26" s="282">
        <f>SUM(J26*0.205)</f>
        <v>0</v>
      </c>
      <c r="Q26" s="283">
        <f>SUM(K26*0.205)</f>
        <v>0</v>
      </c>
      <c r="R26" s="282">
        <f>SUM(J26*0.23)</f>
        <v>0</v>
      </c>
      <c r="S26" s="283">
        <f>SUM(K26*0.23)</f>
        <v>0</v>
      </c>
      <c r="T26" s="292"/>
      <c r="U26" s="293"/>
      <c r="V26" s="278">
        <f>SUM(J26*0.3)</f>
        <v>0</v>
      </c>
      <c r="W26" s="279">
        <f>SUM(K26*0.3)</f>
        <v>0</v>
      </c>
      <c r="X26" s="248">
        <v>0.3</v>
      </c>
      <c r="Y26" s="248">
        <v>0.3</v>
      </c>
    </row>
    <row r="27" spans="1:25" ht="15.75" customHeight="1">
      <c r="A27" s="15"/>
      <c r="B27" s="32" t="s">
        <v>113</v>
      </c>
      <c r="C27" s="16"/>
      <c r="D27" s="460"/>
      <c r="E27" s="38" t="s">
        <v>24</v>
      </c>
      <c r="F27" s="466"/>
      <c r="G27" s="17" t="s">
        <v>24</v>
      </c>
      <c r="H27" s="471"/>
      <c r="I27" s="17" t="s">
        <v>83</v>
      </c>
      <c r="J27" s="122">
        <f t="shared" si="5"/>
        <v>0</v>
      </c>
      <c r="K27" s="219">
        <f t="shared" si="6"/>
        <v>0</v>
      </c>
      <c r="L27" s="112">
        <f>SUM(J27*0.3)</f>
        <v>0</v>
      </c>
      <c r="M27" s="113">
        <f>SUM(K27*0.3)</f>
        <v>0</v>
      </c>
      <c r="N27" s="112">
        <f>SUM(J27*50)</f>
        <v>0</v>
      </c>
      <c r="O27" s="113">
        <f>SUM(K27*50)</f>
        <v>0</v>
      </c>
      <c r="P27" s="282">
        <f>SUM(J27*0.02)</f>
        <v>0</v>
      </c>
      <c r="Q27" s="283">
        <f>SUM(K27*0.02)</f>
        <v>0</v>
      </c>
      <c r="R27" s="282">
        <f>SUM(J27*0.01)</f>
        <v>0</v>
      </c>
      <c r="S27" s="283">
        <f>SUM(K27*0.01)</f>
        <v>0</v>
      </c>
      <c r="T27" s="292"/>
      <c r="U27" s="293"/>
      <c r="V27" s="278">
        <f>SUM(J27*0.03)</f>
        <v>0</v>
      </c>
      <c r="W27" s="279">
        <f>SUM(K27*0.03)</f>
        <v>0</v>
      </c>
      <c r="X27" s="248">
        <v>0.03</v>
      </c>
      <c r="Y27" s="248">
        <v>0.03</v>
      </c>
    </row>
    <row r="28" spans="1:25" ht="15.75" customHeight="1">
      <c r="A28" s="15"/>
      <c r="B28" s="32" t="s">
        <v>32</v>
      </c>
      <c r="C28" s="16"/>
      <c r="D28" s="460"/>
      <c r="E28" s="38" t="s">
        <v>24</v>
      </c>
      <c r="F28" s="466"/>
      <c r="G28" s="17" t="s">
        <v>24</v>
      </c>
      <c r="H28" s="471"/>
      <c r="I28" s="17" t="s">
        <v>33</v>
      </c>
      <c r="J28" s="122">
        <f t="shared" si="5"/>
        <v>0</v>
      </c>
      <c r="K28" s="219">
        <f t="shared" si="6"/>
        <v>0</v>
      </c>
      <c r="L28" s="112">
        <f>SUM(J28*0.5)</f>
        <v>0</v>
      </c>
      <c r="M28" s="113">
        <f>SUM(K28*0.5)</f>
        <v>0</v>
      </c>
      <c r="N28" s="112">
        <f>SUM(J28*80)</f>
        <v>0</v>
      </c>
      <c r="O28" s="113">
        <f>SUM(K28*80)</f>
        <v>0</v>
      </c>
      <c r="P28" s="278">
        <f>SUM(J28*0.1)</f>
        <v>0</v>
      </c>
      <c r="Q28" s="279">
        <f>SUM(K28*0.1)</f>
        <v>0</v>
      </c>
      <c r="R28" s="282">
        <f>SUM(J28*0.01)</f>
        <v>0</v>
      </c>
      <c r="S28" s="283">
        <f>SUM(K28*0.01)</f>
        <v>0</v>
      </c>
      <c r="T28" s="292"/>
      <c r="U28" s="293"/>
      <c r="V28" s="278">
        <f>SUM(J28*0.03)</f>
        <v>0</v>
      </c>
      <c r="W28" s="279">
        <f>SUM(K28*0.03)</f>
        <v>0</v>
      </c>
      <c r="X28" s="248">
        <v>0.03</v>
      </c>
      <c r="Y28" s="248">
        <v>0.03</v>
      </c>
    </row>
    <row r="29" spans="1:25" ht="15.75" customHeight="1">
      <c r="A29" s="21"/>
      <c r="B29" s="22" t="s">
        <v>3</v>
      </c>
      <c r="C29" s="23"/>
      <c r="D29" s="460"/>
      <c r="E29" s="19" t="s">
        <v>24</v>
      </c>
      <c r="F29" s="466"/>
      <c r="G29" s="20" t="s">
        <v>24</v>
      </c>
      <c r="H29" s="471"/>
      <c r="I29" s="20" t="s">
        <v>83</v>
      </c>
      <c r="J29" s="392">
        <f t="shared" si="5"/>
        <v>0</v>
      </c>
      <c r="K29" s="220">
        <f t="shared" si="6"/>
        <v>0</v>
      </c>
      <c r="L29" s="116">
        <f>SUM(J29*4)</f>
        <v>0</v>
      </c>
      <c r="M29" s="127">
        <f>SUM(K29*4)</f>
        <v>0</v>
      </c>
      <c r="N29" s="116">
        <f>SUM(J29*45)</f>
        <v>0</v>
      </c>
      <c r="O29" s="127">
        <f>SUM(K29*45)</f>
        <v>0</v>
      </c>
      <c r="P29" s="284">
        <f>SUM(J29*1)</f>
        <v>0</v>
      </c>
      <c r="Q29" s="285">
        <f>SUM(K29*1)</f>
        <v>0</v>
      </c>
      <c r="R29" s="284">
        <f>SUM(J29*2.5)</f>
        <v>0</v>
      </c>
      <c r="S29" s="285">
        <f>SUM(K29*2.5)</f>
        <v>0</v>
      </c>
      <c r="T29" s="294"/>
      <c r="U29" s="295"/>
      <c r="V29" s="284">
        <f>SUM(J29*0.34)</f>
        <v>0</v>
      </c>
      <c r="W29" s="285">
        <f>SUM(K29*0.34)</f>
        <v>0</v>
      </c>
      <c r="X29" s="248">
        <v>0.34</v>
      </c>
      <c r="Y29" s="248">
        <v>0.34</v>
      </c>
    </row>
    <row r="30" spans="1:25" ht="13.5" customHeight="1">
      <c r="A30" s="34" t="s">
        <v>35</v>
      </c>
      <c r="B30" s="5"/>
      <c r="C30" s="35"/>
      <c r="D30" s="461"/>
      <c r="E30" s="27"/>
      <c r="F30" s="467"/>
      <c r="G30" s="28"/>
      <c r="H30" s="472"/>
      <c r="I30" s="28"/>
      <c r="J30" s="187"/>
      <c r="K30" s="221"/>
      <c r="L30" s="188"/>
      <c r="M30" s="189"/>
      <c r="N30" s="190"/>
      <c r="O30" s="191"/>
      <c r="P30" s="288"/>
      <c r="Q30" s="289"/>
      <c r="R30" s="286"/>
      <c r="S30" s="287"/>
      <c r="T30" s="296"/>
      <c r="U30" s="297"/>
      <c r="V30" s="288"/>
      <c r="W30" s="289"/>
      <c r="X30" s="453">
        <v>0.3</v>
      </c>
      <c r="Y30" s="453">
        <v>0.3</v>
      </c>
    </row>
    <row r="31" spans="1:25" ht="15.75" customHeight="1">
      <c r="A31" s="39"/>
      <c r="B31" s="40" t="s">
        <v>36</v>
      </c>
      <c r="C31" s="41"/>
      <c r="D31" s="463"/>
      <c r="E31" s="51" t="s">
        <v>24</v>
      </c>
      <c r="F31" s="468"/>
      <c r="G31" s="43" t="s">
        <v>24</v>
      </c>
      <c r="H31" s="473"/>
      <c r="I31" s="43" t="s">
        <v>34</v>
      </c>
      <c r="J31" s="212">
        <f>SUM(D31*H31)</f>
        <v>0</v>
      </c>
      <c r="K31" s="222">
        <f>SUM(F31*H31)</f>
        <v>0</v>
      </c>
      <c r="L31" s="121">
        <f>SUM(J31*1.2)</f>
        <v>0</v>
      </c>
      <c r="M31" s="120">
        <f>SUM(K31*1.2)</f>
        <v>0</v>
      </c>
      <c r="N31" s="121">
        <f>SUM(J31*100)</f>
        <v>0</v>
      </c>
      <c r="O31" s="120">
        <f>SUM(K31*100)</f>
        <v>0</v>
      </c>
      <c r="P31" s="298">
        <f>SUM(J31*0.3)</f>
        <v>0</v>
      </c>
      <c r="Q31" s="299">
        <f>SUM(K31*0.3)</f>
        <v>0</v>
      </c>
      <c r="R31" s="298">
        <f>SUM(J31*0.2)</f>
        <v>0</v>
      </c>
      <c r="S31" s="299">
        <f>SUM(K31*0.2)</f>
        <v>0</v>
      </c>
      <c r="T31" s="300"/>
      <c r="U31" s="301"/>
      <c r="V31" s="298">
        <f>SUM(J31*0.3)</f>
        <v>0</v>
      </c>
      <c r="W31" s="299">
        <f>SUM(K31*0.3)</f>
        <v>0</v>
      </c>
      <c r="X31" s="454"/>
      <c r="Y31" s="454"/>
    </row>
    <row r="32" spans="1:25" ht="13.5" customHeight="1">
      <c r="A32" s="406" t="s">
        <v>37</v>
      </c>
      <c r="B32" s="394"/>
      <c r="C32" s="44"/>
      <c r="D32" s="461"/>
      <c r="E32" s="27"/>
      <c r="F32" s="467"/>
      <c r="G32" s="28"/>
      <c r="H32" s="472"/>
      <c r="I32" s="28"/>
      <c r="J32" s="187"/>
      <c r="K32" s="223"/>
      <c r="L32" s="188"/>
      <c r="M32" s="189"/>
      <c r="N32" s="188"/>
      <c r="O32" s="189"/>
      <c r="P32" s="288"/>
      <c r="Q32" s="289"/>
      <c r="R32" s="286"/>
      <c r="S32" s="287"/>
      <c r="T32" s="302"/>
      <c r="U32" s="297"/>
      <c r="V32" s="288"/>
      <c r="W32" s="289"/>
      <c r="X32" s="453">
        <v>0.71</v>
      </c>
      <c r="Y32" s="453">
        <v>0.71</v>
      </c>
    </row>
    <row r="33" spans="1:25" ht="15.75" customHeight="1">
      <c r="A33" s="11"/>
      <c r="B33" s="30" t="s">
        <v>4</v>
      </c>
      <c r="C33" s="12"/>
      <c r="D33" s="460"/>
      <c r="E33" s="13" t="s">
        <v>24</v>
      </c>
      <c r="F33" s="466"/>
      <c r="G33" s="14" t="s">
        <v>24</v>
      </c>
      <c r="H33" s="471"/>
      <c r="I33" s="180" t="s">
        <v>38</v>
      </c>
      <c r="J33" s="109">
        <f>SUM(D33*H33)</f>
        <v>0</v>
      </c>
      <c r="K33" s="218">
        <f>SUM(F33*H33)</f>
        <v>0</v>
      </c>
      <c r="L33" s="110">
        <f>SUM(J33*4)</f>
        <v>0</v>
      </c>
      <c r="M33" s="111">
        <f>SUM(K33*4)</f>
        <v>0</v>
      </c>
      <c r="N33" s="110">
        <f>SUM(J33*5)</f>
        <v>0</v>
      </c>
      <c r="O33" s="111">
        <f>SUM(K33*5)</f>
        <v>0</v>
      </c>
      <c r="P33" s="274">
        <f>SUM(J33*2)</f>
        <v>0</v>
      </c>
      <c r="Q33" s="275">
        <f>SUM(K33*2)</f>
        <v>0</v>
      </c>
      <c r="R33" s="274">
        <f>SUM(J33*1.5)</f>
        <v>0</v>
      </c>
      <c r="S33" s="275">
        <f>SUM(K33*1.5)</f>
        <v>0</v>
      </c>
      <c r="T33" s="302"/>
      <c r="U33" s="303"/>
      <c r="V33" s="274">
        <f>SUM(J33*0.71)</f>
        <v>0</v>
      </c>
      <c r="W33" s="275">
        <f>SUM(K33*0.71)</f>
        <v>0</v>
      </c>
      <c r="X33" s="454"/>
      <c r="Y33" s="454"/>
    </row>
    <row r="34" spans="1:25" ht="15.75" customHeight="1">
      <c r="A34" s="15"/>
      <c r="B34" s="32" t="s">
        <v>89</v>
      </c>
      <c r="C34" s="16"/>
      <c r="D34" s="460"/>
      <c r="E34" s="13" t="s">
        <v>24</v>
      </c>
      <c r="F34" s="466"/>
      <c r="G34" s="14" t="s">
        <v>24</v>
      </c>
      <c r="H34" s="471"/>
      <c r="I34" s="181" t="s">
        <v>38</v>
      </c>
      <c r="J34" s="109">
        <f>SUM(D34*H34)</f>
        <v>0</v>
      </c>
      <c r="K34" s="218">
        <f>SUM(F34*H34)</f>
        <v>0</v>
      </c>
      <c r="L34" s="110">
        <f>SUM(J34*3)</f>
        <v>0</v>
      </c>
      <c r="M34" s="111">
        <f>SUM(K34*3)</f>
        <v>0</v>
      </c>
      <c r="N34" s="110">
        <f>SUM(J34*1)</f>
        <v>0</v>
      </c>
      <c r="O34" s="111">
        <f>SUM(K34*1)</f>
        <v>0</v>
      </c>
      <c r="P34" s="274">
        <f>SUM(J34*0.5)</f>
        <v>0</v>
      </c>
      <c r="Q34" s="275">
        <f>SUM(K34*0.5)</f>
        <v>0</v>
      </c>
      <c r="R34" s="274">
        <f>SUM(J34*1)</f>
        <v>0</v>
      </c>
      <c r="S34" s="275">
        <f>SUM(K34*1)</f>
        <v>0</v>
      </c>
      <c r="T34" s="274">
        <f>SUM(J34*0.2)</f>
        <v>0</v>
      </c>
      <c r="U34" s="275">
        <f>SUM(K34*0.2)</f>
        <v>0</v>
      </c>
      <c r="V34" s="278">
        <f>SUM(J34*1.44)</f>
        <v>0</v>
      </c>
      <c r="W34" s="279">
        <f>SUM(K34*1.44)</f>
        <v>0</v>
      </c>
      <c r="X34" s="248">
        <v>1.44</v>
      </c>
      <c r="Y34" s="248">
        <v>1.44</v>
      </c>
    </row>
    <row r="35" spans="1:25" ht="15.75" customHeight="1">
      <c r="A35" s="15"/>
      <c r="B35" s="32" t="s">
        <v>39</v>
      </c>
      <c r="C35" s="16"/>
      <c r="D35" s="460"/>
      <c r="E35" s="13" t="s">
        <v>24</v>
      </c>
      <c r="F35" s="466"/>
      <c r="G35" s="14" t="s">
        <v>24</v>
      </c>
      <c r="H35" s="471"/>
      <c r="I35" s="17" t="s">
        <v>28</v>
      </c>
      <c r="J35" s="109">
        <f>SUM(D35*H35)</f>
        <v>0</v>
      </c>
      <c r="K35" s="218">
        <f>SUM(F35*H35)</f>
        <v>0</v>
      </c>
      <c r="L35" s="110">
        <f>SUM(J35*7)</f>
        <v>0</v>
      </c>
      <c r="M35" s="111">
        <f>SUM(K35*7)</f>
        <v>0</v>
      </c>
      <c r="N35" s="110">
        <f>SUM(J35*10)</f>
        <v>0</v>
      </c>
      <c r="O35" s="111">
        <f>SUM(K35*10)</f>
        <v>0</v>
      </c>
      <c r="P35" s="274">
        <f>SUM(J35*2)</f>
        <v>0</v>
      </c>
      <c r="Q35" s="275">
        <f>SUM(K35*2)</f>
        <v>0</v>
      </c>
      <c r="R35" s="274">
        <f>SUM(J35*1)</f>
        <v>0</v>
      </c>
      <c r="S35" s="275">
        <f>SUM(K35*1)</f>
        <v>0</v>
      </c>
      <c r="T35" s="274">
        <f>SUM(J35*0.4)</f>
        <v>0</v>
      </c>
      <c r="U35" s="275">
        <f>SUM(K35*0.4)</f>
        <v>0</v>
      </c>
      <c r="V35" s="278">
        <f>SUM(J35*2.36)</f>
        <v>0</v>
      </c>
      <c r="W35" s="279">
        <f>SUM(K35*2.36)</f>
        <v>0</v>
      </c>
      <c r="X35" s="248">
        <v>2.36</v>
      </c>
      <c r="Y35" s="248">
        <v>2.36</v>
      </c>
    </row>
    <row r="36" spans="1:25" ht="15.75" customHeight="1">
      <c r="A36" s="15"/>
      <c r="B36" s="32" t="s">
        <v>101</v>
      </c>
      <c r="C36" s="16"/>
      <c r="D36" s="460"/>
      <c r="E36" s="13" t="s">
        <v>24</v>
      </c>
      <c r="F36" s="466"/>
      <c r="G36" s="14" t="s">
        <v>24</v>
      </c>
      <c r="H36" s="471"/>
      <c r="I36" s="17"/>
      <c r="J36" s="109">
        <f>SUM(D36)</f>
        <v>0</v>
      </c>
      <c r="K36" s="218">
        <f>SUM(F36)</f>
        <v>0</v>
      </c>
      <c r="L36" s="110">
        <f>SUM(J36*15)</f>
        <v>0</v>
      </c>
      <c r="M36" s="111">
        <f>SUM(K36*15)</f>
        <v>0</v>
      </c>
      <c r="N36" s="117"/>
      <c r="O36" s="166"/>
      <c r="P36" s="290"/>
      <c r="Q36" s="291"/>
      <c r="R36" s="290"/>
      <c r="S36" s="291"/>
      <c r="T36" s="290"/>
      <c r="U36" s="291"/>
      <c r="V36" s="282"/>
      <c r="W36" s="283"/>
      <c r="X36" s="248"/>
      <c r="Y36" s="248"/>
    </row>
    <row r="37" spans="1:25" ht="15.75" customHeight="1">
      <c r="A37" s="15"/>
      <c r="B37" s="32" t="s">
        <v>102</v>
      </c>
      <c r="C37" s="16"/>
      <c r="D37" s="460"/>
      <c r="E37" s="13" t="s">
        <v>24</v>
      </c>
      <c r="F37" s="466"/>
      <c r="G37" s="14" t="s">
        <v>24</v>
      </c>
      <c r="H37" s="471"/>
      <c r="I37" s="17"/>
      <c r="J37" s="122">
        <f>SUM(D37)</f>
        <v>0</v>
      </c>
      <c r="K37" s="218">
        <f>SUM(F37)</f>
        <v>0</v>
      </c>
      <c r="L37" s="109">
        <f>SUM(J37*20)</f>
        <v>0</v>
      </c>
      <c r="M37" s="218">
        <f>SUM(K37*20)</f>
        <v>0</v>
      </c>
      <c r="N37" s="119"/>
      <c r="O37" s="123"/>
      <c r="P37" s="282"/>
      <c r="Q37" s="283"/>
      <c r="R37" s="282"/>
      <c r="S37" s="304"/>
      <c r="T37" s="305"/>
      <c r="U37" s="306"/>
      <c r="V37" s="282"/>
      <c r="W37" s="283"/>
      <c r="X37" s="248"/>
      <c r="Y37" s="248"/>
    </row>
    <row r="38" spans="1:25" ht="15.75" customHeight="1">
      <c r="A38" s="39"/>
      <c r="B38" s="40" t="s">
        <v>137</v>
      </c>
      <c r="C38" s="202" t="s">
        <v>138</v>
      </c>
      <c r="D38" s="463"/>
      <c r="E38" s="213"/>
      <c r="F38" s="468"/>
      <c r="G38" s="43"/>
      <c r="H38" s="473"/>
      <c r="I38" s="43"/>
      <c r="J38" s="214"/>
      <c r="K38" s="224"/>
      <c r="L38" s="121">
        <v>140</v>
      </c>
      <c r="M38" s="126"/>
      <c r="N38" s="125"/>
      <c r="O38" s="126"/>
      <c r="P38" s="298">
        <v>14</v>
      </c>
      <c r="Q38" s="307"/>
      <c r="R38" s="308"/>
      <c r="S38" s="309"/>
      <c r="T38" s="308"/>
      <c r="U38" s="310"/>
      <c r="V38" s="311"/>
      <c r="W38" s="312"/>
      <c r="X38" s="248"/>
      <c r="Y38" s="248"/>
    </row>
    <row r="39" spans="1:25" ht="14.25" customHeight="1">
      <c r="A39" s="406" t="s">
        <v>40</v>
      </c>
      <c r="B39" s="407"/>
      <c r="C39" s="44"/>
      <c r="D39" s="461"/>
      <c r="E39" s="27"/>
      <c r="F39" s="467"/>
      <c r="G39" s="28"/>
      <c r="H39" s="472"/>
      <c r="I39" s="28"/>
      <c r="J39" s="187"/>
      <c r="K39" s="223"/>
      <c r="L39" s="188"/>
      <c r="M39" s="189"/>
      <c r="N39" s="188"/>
      <c r="O39" s="189"/>
      <c r="P39" s="288"/>
      <c r="Q39" s="289"/>
      <c r="R39" s="286"/>
      <c r="S39" s="313"/>
      <c r="T39" s="296"/>
      <c r="U39" s="297"/>
      <c r="V39" s="288"/>
      <c r="W39" s="289"/>
      <c r="X39" s="453">
        <v>1.42</v>
      </c>
      <c r="Y39" s="453">
        <v>1.42</v>
      </c>
    </row>
    <row r="40" spans="1:25" ht="15.75" customHeight="1">
      <c r="A40" s="29"/>
      <c r="B40" s="12" t="s">
        <v>123</v>
      </c>
      <c r="C40" s="12"/>
      <c r="D40" s="460"/>
      <c r="E40" s="13" t="s">
        <v>24</v>
      </c>
      <c r="F40" s="466"/>
      <c r="G40" s="14" t="s">
        <v>24</v>
      </c>
      <c r="H40" s="471"/>
      <c r="I40" s="14" t="s">
        <v>41</v>
      </c>
      <c r="J40" s="109">
        <f>SUM(D40*H40)</f>
        <v>0</v>
      </c>
      <c r="K40" s="218">
        <f>SUM(F40*H40)</f>
        <v>0</v>
      </c>
      <c r="L40" s="110">
        <f>SUM(J40*7)</f>
        <v>0</v>
      </c>
      <c r="M40" s="111">
        <f>SUM(K40*7)</f>
        <v>0</v>
      </c>
      <c r="N40" s="110">
        <f>SUM(J40*4.5)</f>
        <v>0</v>
      </c>
      <c r="O40" s="111">
        <f>SUM(K40*4.5)</f>
        <v>0</v>
      </c>
      <c r="P40" s="274">
        <f>SUM(J40*2)</f>
        <v>0</v>
      </c>
      <c r="Q40" s="275">
        <f>SUM(K40*2)</f>
        <v>0</v>
      </c>
      <c r="R40" s="274">
        <f>SUM(J40*3.5)</f>
        <v>0</v>
      </c>
      <c r="S40" s="275">
        <f>SUM(K40*3.5)</f>
        <v>0</v>
      </c>
      <c r="T40" s="274">
        <f aca="true" t="shared" si="7" ref="T40:U44">SUM(J40*1)</f>
        <v>0</v>
      </c>
      <c r="U40" s="275">
        <f t="shared" si="7"/>
        <v>0</v>
      </c>
      <c r="V40" s="274">
        <f>SUM(J40*1.42)</f>
        <v>0</v>
      </c>
      <c r="W40" s="275">
        <f>SUM(K40*1.42)</f>
        <v>0</v>
      </c>
      <c r="X40" s="454"/>
      <c r="Y40" s="454"/>
    </row>
    <row r="41" spans="1:25" ht="15.75" customHeight="1">
      <c r="A41" s="29"/>
      <c r="B41" s="32" t="s">
        <v>126</v>
      </c>
      <c r="C41" s="12"/>
      <c r="D41" s="460"/>
      <c r="E41" s="13" t="s">
        <v>24</v>
      </c>
      <c r="F41" s="466"/>
      <c r="G41" s="14" t="s">
        <v>24</v>
      </c>
      <c r="H41" s="471"/>
      <c r="I41" s="14" t="s">
        <v>42</v>
      </c>
      <c r="J41" s="109">
        <f>SUM(D41*H41)</f>
        <v>0</v>
      </c>
      <c r="K41" s="218">
        <f>SUM(F41*H41)</f>
        <v>0</v>
      </c>
      <c r="L41" s="110">
        <f aca="true" t="shared" si="8" ref="L41:M44">SUM(J41*10)</f>
        <v>0</v>
      </c>
      <c r="M41" s="111">
        <f t="shared" si="8"/>
        <v>0</v>
      </c>
      <c r="N41" s="110">
        <f>SUM(J41*3)</f>
        <v>0</v>
      </c>
      <c r="O41" s="111">
        <f>SUM(K41*3)</f>
        <v>0</v>
      </c>
      <c r="P41" s="274">
        <f>SUM(J41*5)</f>
        <v>0</v>
      </c>
      <c r="Q41" s="275">
        <f>SUM(K41*5)</f>
        <v>0</v>
      </c>
      <c r="R41" s="274">
        <f>SUM(J41*4)</f>
        <v>0</v>
      </c>
      <c r="S41" s="275">
        <f>SUM(K41*4)</f>
        <v>0</v>
      </c>
      <c r="T41" s="274">
        <f t="shared" si="7"/>
        <v>0</v>
      </c>
      <c r="U41" s="275">
        <f t="shared" si="7"/>
        <v>0</v>
      </c>
      <c r="V41" s="278">
        <f>SUM(J41*0.76)</f>
        <v>0</v>
      </c>
      <c r="W41" s="279">
        <f>SUM(K41*0.76)</f>
        <v>0</v>
      </c>
      <c r="X41" s="248">
        <v>0.76</v>
      </c>
      <c r="Y41" s="248">
        <v>0.76</v>
      </c>
    </row>
    <row r="42" spans="1:25" ht="15.75" customHeight="1">
      <c r="A42" s="29"/>
      <c r="B42" s="182" t="s">
        <v>133</v>
      </c>
      <c r="C42" s="12"/>
      <c r="D42" s="464"/>
      <c r="E42" s="178"/>
      <c r="F42" s="469"/>
      <c r="G42" s="179"/>
      <c r="H42" s="474"/>
      <c r="I42" s="179"/>
      <c r="J42" s="124"/>
      <c r="K42" s="225"/>
      <c r="L42" s="117"/>
      <c r="M42" s="166"/>
      <c r="N42" s="117"/>
      <c r="O42" s="166"/>
      <c r="P42" s="290"/>
      <c r="Q42" s="291"/>
      <c r="R42" s="290"/>
      <c r="S42" s="291"/>
      <c r="T42" s="290"/>
      <c r="U42" s="291"/>
      <c r="V42" s="282"/>
      <c r="W42" s="283"/>
      <c r="X42" s="249"/>
      <c r="Y42" s="249"/>
    </row>
    <row r="43" spans="1:25" ht="15.75" customHeight="1">
      <c r="A43" s="31"/>
      <c r="B43" s="16" t="s">
        <v>111</v>
      </c>
      <c r="C43" s="16"/>
      <c r="D43" s="460"/>
      <c r="E43" s="13" t="s">
        <v>24</v>
      </c>
      <c r="F43" s="466"/>
      <c r="G43" s="14" t="s">
        <v>24</v>
      </c>
      <c r="H43" s="471"/>
      <c r="I43" s="17" t="s">
        <v>41</v>
      </c>
      <c r="J43" s="109">
        <f>SUM(D43*H43)</f>
        <v>0</v>
      </c>
      <c r="K43" s="218">
        <f>SUM(F43*H43)</f>
        <v>0</v>
      </c>
      <c r="L43" s="110">
        <f t="shared" si="8"/>
        <v>0</v>
      </c>
      <c r="M43" s="111">
        <f t="shared" si="8"/>
        <v>0</v>
      </c>
      <c r="N43" s="110">
        <f>SUM(J43*10)</f>
        <v>0</v>
      </c>
      <c r="O43" s="111">
        <f>SUM(K43*10)</f>
        <v>0</v>
      </c>
      <c r="P43" s="274">
        <f>SUM(J43*3)</f>
        <v>0</v>
      </c>
      <c r="Q43" s="275">
        <f>SUM(K43*3)</f>
        <v>0</v>
      </c>
      <c r="R43" s="274">
        <f>SUM(J43*3)</f>
        <v>0</v>
      </c>
      <c r="S43" s="275">
        <f>SUM(K43*3)</f>
        <v>0</v>
      </c>
      <c r="T43" s="274">
        <f t="shared" si="7"/>
        <v>0</v>
      </c>
      <c r="U43" s="275">
        <f t="shared" si="7"/>
        <v>0</v>
      </c>
      <c r="V43" s="278">
        <f>SUM(J43*2.36)</f>
        <v>0</v>
      </c>
      <c r="W43" s="279">
        <f>SUM(K43*2.36)</f>
        <v>0</v>
      </c>
      <c r="X43" s="248">
        <v>2.36</v>
      </c>
      <c r="Y43" s="248">
        <v>2.36</v>
      </c>
    </row>
    <row r="44" spans="1:25" ht="15.75" customHeight="1">
      <c r="A44" s="33"/>
      <c r="B44" s="23" t="s">
        <v>110</v>
      </c>
      <c r="C44" s="23"/>
      <c r="D44" s="463"/>
      <c r="E44" s="51" t="s">
        <v>24</v>
      </c>
      <c r="F44" s="468"/>
      <c r="G44" s="43" t="s">
        <v>24</v>
      </c>
      <c r="H44" s="473"/>
      <c r="I44" s="25" t="s">
        <v>41</v>
      </c>
      <c r="J44" s="212">
        <f>SUM(D44*H44)</f>
        <v>0</v>
      </c>
      <c r="K44" s="222">
        <f>SUM(F44*H44)</f>
        <v>0</v>
      </c>
      <c r="L44" s="121">
        <f t="shared" si="8"/>
        <v>0</v>
      </c>
      <c r="M44" s="120">
        <f t="shared" si="8"/>
        <v>0</v>
      </c>
      <c r="N44" s="125"/>
      <c r="O44" s="126"/>
      <c r="P44" s="298">
        <f>SUM(J44*1)</f>
        <v>0</v>
      </c>
      <c r="Q44" s="299">
        <f>SUM(K44*1)</f>
        <v>0</v>
      </c>
      <c r="R44" s="284">
        <f>SUM(J44*4)</f>
        <v>0</v>
      </c>
      <c r="S44" s="285">
        <f>SUM(K44*4)</f>
        <v>0</v>
      </c>
      <c r="T44" s="284">
        <f t="shared" si="7"/>
        <v>0</v>
      </c>
      <c r="U44" s="285">
        <f t="shared" si="7"/>
        <v>0</v>
      </c>
      <c r="V44" s="284">
        <f>SUM(J44*3.93)</f>
        <v>0</v>
      </c>
      <c r="W44" s="285">
        <f>SUM(K44*3.93)</f>
        <v>0</v>
      </c>
      <c r="X44" s="248">
        <v>3.93</v>
      </c>
      <c r="Y44" s="248">
        <v>3.93</v>
      </c>
    </row>
    <row r="45" spans="1:25" ht="14.25" customHeight="1">
      <c r="A45" s="406" t="s">
        <v>43</v>
      </c>
      <c r="B45" s="407"/>
      <c r="C45" s="408"/>
      <c r="D45" s="461"/>
      <c r="E45" s="27"/>
      <c r="F45" s="467"/>
      <c r="G45" s="28"/>
      <c r="H45" s="472"/>
      <c r="I45" s="28"/>
      <c r="J45" s="187"/>
      <c r="K45" s="223"/>
      <c r="L45" s="188"/>
      <c r="M45" s="189"/>
      <c r="N45" s="188"/>
      <c r="O45" s="189"/>
      <c r="P45" s="288"/>
      <c r="Q45" s="289"/>
      <c r="R45" s="286"/>
      <c r="S45" s="287"/>
      <c r="T45" s="286"/>
      <c r="U45" s="287"/>
      <c r="V45" s="288"/>
      <c r="W45" s="289"/>
      <c r="X45" s="453">
        <v>0.21</v>
      </c>
      <c r="Y45" s="453">
        <v>0.21</v>
      </c>
    </row>
    <row r="46" spans="1:25" ht="15.75" customHeight="1">
      <c r="A46" s="11"/>
      <c r="B46" s="30" t="s">
        <v>124</v>
      </c>
      <c r="C46" s="12"/>
      <c r="D46" s="460"/>
      <c r="E46" s="13" t="s">
        <v>24</v>
      </c>
      <c r="F46" s="466"/>
      <c r="G46" s="14" t="s">
        <v>24</v>
      </c>
      <c r="H46" s="471"/>
      <c r="I46" s="46" t="s">
        <v>44</v>
      </c>
      <c r="J46" s="109">
        <f aca="true" t="shared" si="9" ref="J46:J53">SUM(D46*H46)</f>
        <v>0</v>
      </c>
      <c r="K46" s="218">
        <f aca="true" t="shared" si="10" ref="K46:K53">SUM(F46*H46)</f>
        <v>0</v>
      </c>
      <c r="L46" s="110">
        <f>SUM(J46*10)</f>
        <v>0</v>
      </c>
      <c r="M46" s="111">
        <f>SUM(K46*10)</f>
        <v>0</v>
      </c>
      <c r="N46" s="110">
        <f>SUM(J46*20)</f>
        <v>0</v>
      </c>
      <c r="O46" s="111">
        <f>SUM(K46*20)</f>
        <v>0</v>
      </c>
      <c r="P46" s="274">
        <f>SUM(J46*3.5)</f>
        <v>0</v>
      </c>
      <c r="Q46" s="275">
        <f>SUM(K46*3.5)</f>
        <v>0</v>
      </c>
      <c r="R46" s="274">
        <f>SUM(J46*2)</f>
        <v>0</v>
      </c>
      <c r="S46" s="275">
        <f>SUM(K46*2)</f>
        <v>0</v>
      </c>
      <c r="T46" s="274">
        <f>SUM(J46*0.5)</f>
        <v>0</v>
      </c>
      <c r="U46" s="275">
        <f>SUM(K46*0.5)</f>
        <v>0</v>
      </c>
      <c r="V46" s="274">
        <f>SUM(J46*0.21)</f>
        <v>0</v>
      </c>
      <c r="W46" s="275">
        <f>SUM(K46*0.21)</f>
        <v>0</v>
      </c>
      <c r="X46" s="454"/>
      <c r="Y46" s="454"/>
    </row>
    <row r="47" spans="1:25" ht="15.75" customHeight="1">
      <c r="A47" s="15"/>
      <c r="B47" s="45" t="s">
        <v>125</v>
      </c>
      <c r="C47" s="16"/>
      <c r="D47" s="460"/>
      <c r="E47" s="13" t="s">
        <v>24</v>
      </c>
      <c r="F47" s="466"/>
      <c r="G47" s="14" t="s">
        <v>24</v>
      </c>
      <c r="H47" s="471"/>
      <c r="I47" s="47" t="s">
        <v>44</v>
      </c>
      <c r="J47" s="109">
        <f t="shared" si="9"/>
        <v>0</v>
      </c>
      <c r="K47" s="218">
        <f t="shared" si="10"/>
        <v>0</v>
      </c>
      <c r="L47" s="112">
        <f>SUM(J47*4.5)</f>
        <v>0</v>
      </c>
      <c r="M47" s="113">
        <f>SUM(K47*4.5)</f>
        <v>0</v>
      </c>
      <c r="N47" s="112">
        <f>SUM(J47*20)</f>
        <v>0</v>
      </c>
      <c r="O47" s="113">
        <f>SUM(K47*20)</f>
        <v>0</v>
      </c>
      <c r="P47" s="278">
        <f>SUM(J47*3)</f>
        <v>0</v>
      </c>
      <c r="Q47" s="279">
        <f>SUM(K47*3)</f>
        <v>0</v>
      </c>
      <c r="R47" s="274">
        <f>SUM(J47*1)</f>
        <v>0</v>
      </c>
      <c r="S47" s="275">
        <f>SUM(K47*1)</f>
        <v>0</v>
      </c>
      <c r="T47" s="290"/>
      <c r="U47" s="291"/>
      <c r="V47" s="278">
        <f>SUM(J47*0.18)</f>
        <v>0</v>
      </c>
      <c r="W47" s="279">
        <f>SUM(K47*0.18)</f>
        <v>0</v>
      </c>
      <c r="X47" s="248">
        <v>0.18</v>
      </c>
      <c r="Y47" s="248">
        <v>0.18</v>
      </c>
    </row>
    <row r="48" spans="1:25" ht="15.75" customHeight="1">
      <c r="A48" s="15"/>
      <c r="B48" s="32" t="s">
        <v>98</v>
      </c>
      <c r="C48" s="16"/>
      <c r="D48" s="460"/>
      <c r="E48" s="13" t="s">
        <v>24</v>
      </c>
      <c r="F48" s="466"/>
      <c r="G48" s="14" t="s">
        <v>24</v>
      </c>
      <c r="H48" s="471"/>
      <c r="I48" s="47" t="s">
        <v>44</v>
      </c>
      <c r="J48" s="109">
        <f t="shared" si="9"/>
        <v>0</v>
      </c>
      <c r="K48" s="218">
        <f t="shared" si="10"/>
        <v>0</v>
      </c>
      <c r="L48" s="112">
        <f>SUM(J48*1.5)</f>
        <v>0</v>
      </c>
      <c r="M48" s="113">
        <f>SUM(K48*1.5)</f>
        <v>0</v>
      </c>
      <c r="N48" s="112">
        <f>SUM(J48*3)</f>
        <v>0</v>
      </c>
      <c r="O48" s="113">
        <f>SUM(K48*3)</f>
        <v>0</v>
      </c>
      <c r="P48" s="278">
        <f>SUM(J48*0.6)</f>
        <v>0</v>
      </c>
      <c r="Q48" s="279">
        <f>SUM(K48*0.6)</f>
        <v>0</v>
      </c>
      <c r="R48" s="274">
        <f>SUM(J48*0.1)</f>
        <v>0</v>
      </c>
      <c r="S48" s="275">
        <f>SUM(K48*0.1)</f>
        <v>0</v>
      </c>
      <c r="T48" s="274">
        <f>SUM(J48*0.1)</f>
        <v>0</v>
      </c>
      <c r="U48" s="275">
        <f>SUM(K48*0.1)</f>
        <v>0</v>
      </c>
      <c r="V48" s="278">
        <f>SUM(J48*0.08)</f>
        <v>0</v>
      </c>
      <c r="W48" s="279">
        <f>SUM(K48*0.08)</f>
        <v>0</v>
      </c>
      <c r="X48" s="248">
        <v>0.08</v>
      </c>
      <c r="Y48" s="248">
        <v>0.08</v>
      </c>
    </row>
    <row r="49" spans="1:25" ht="15.75" customHeight="1">
      <c r="A49" s="15"/>
      <c r="B49" s="16" t="s">
        <v>107</v>
      </c>
      <c r="C49" s="16"/>
      <c r="D49" s="460"/>
      <c r="E49" s="13" t="s">
        <v>24</v>
      </c>
      <c r="F49" s="466"/>
      <c r="G49" s="14" t="s">
        <v>24</v>
      </c>
      <c r="H49" s="471"/>
      <c r="I49" s="47" t="s">
        <v>44</v>
      </c>
      <c r="J49" s="109">
        <f t="shared" si="9"/>
        <v>0</v>
      </c>
      <c r="K49" s="218">
        <f t="shared" si="10"/>
        <v>0</v>
      </c>
      <c r="L49" s="112">
        <f>SUM(J49*2)</f>
        <v>0</v>
      </c>
      <c r="M49" s="113">
        <f>SUM(K49*2)</f>
        <v>0</v>
      </c>
      <c r="N49" s="119"/>
      <c r="O49" s="123"/>
      <c r="P49" s="282"/>
      <c r="Q49" s="283"/>
      <c r="R49" s="290"/>
      <c r="S49" s="291"/>
      <c r="T49" s="290"/>
      <c r="U49" s="291"/>
      <c r="V49" s="282"/>
      <c r="W49" s="283"/>
      <c r="X49" s="248">
        <v>0</v>
      </c>
      <c r="Y49" s="248">
        <v>0</v>
      </c>
    </row>
    <row r="50" spans="1:25" ht="15.75" customHeight="1">
      <c r="A50" s="15"/>
      <c r="B50" s="32" t="s">
        <v>80</v>
      </c>
      <c r="C50" s="16"/>
      <c r="D50" s="460"/>
      <c r="E50" s="13" t="s">
        <v>24</v>
      </c>
      <c r="F50" s="466"/>
      <c r="G50" s="14" t="s">
        <v>24</v>
      </c>
      <c r="H50" s="471"/>
      <c r="I50" s="456" t="s">
        <v>136</v>
      </c>
      <c r="J50" s="109">
        <f t="shared" si="9"/>
        <v>0</v>
      </c>
      <c r="K50" s="218">
        <f t="shared" si="10"/>
        <v>0</v>
      </c>
      <c r="L50" s="112">
        <f>SUM(J50*2)</f>
        <v>0</v>
      </c>
      <c r="M50" s="113">
        <f>SUM(K50*2)</f>
        <v>0</v>
      </c>
      <c r="N50" s="112">
        <f>SUM(J50*10)</f>
        <v>0</v>
      </c>
      <c r="O50" s="113">
        <f>SUM(K50*10)</f>
        <v>0</v>
      </c>
      <c r="P50" s="278">
        <f>SUM(J50*1.5)</f>
        <v>0</v>
      </c>
      <c r="Q50" s="279">
        <f>SUM(K50*1.5)</f>
        <v>0</v>
      </c>
      <c r="R50" s="274">
        <f>SUM(J50*0.6)</f>
        <v>0</v>
      </c>
      <c r="S50" s="275">
        <f>SUM(K50*0.6)</f>
        <v>0</v>
      </c>
      <c r="T50" s="290"/>
      <c r="U50" s="291"/>
      <c r="V50" s="278">
        <f>SUM(J50*0.07)</f>
        <v>0</v>
      </c>
      <c r="W50" s="279">
        <f>SUM(K50*0.07)</f>
        <v>0</v>
      </c>
      <c r="X50" s="248">
        <v>0.07</v>
      </c>
      <c r="Y50" s="248">
        <v>0.07</v>
      </c>
    </row>
    <row r="51" spans="1:25" ht="15.75" customHeight="1">
      <c r="A51" s="15"/>
      <c r="B51" s="32" t="s">
        <v>45</v>
      </c>
      <c r="C51" s="16"/>
      <c r="D51" s="460"/>
      <c r="E51" s="38" t="s">
        <v>24</v>
      </c>
      <c r="F51" s="466"/>
      <c r="G51" s="17" t="s">
        <v>24</v>
      </c>
      <c r="H51" s="471"/>
      <c r="I51" s="47" t="s">
        <v>33</v>
      </c>
      <c r="J51" s="122">
        <f t="shared" si="9"/>
        <v>0</v>
      </c>
      <c r="K51" s="219">
        <f t="shared" si="10"/>
        <v>0</v>
      </c>
      <c r="L51" s="112">
        <f>SUM(J51*10)</f>
        <v>0</v>
      </c>
      <c r="M51" s="113">
        <f>SUM(K51*10)</f>
        <v>0</v>
      </c>
      <c r="N51" s="112">
        <f>SUM(J51*20)</f>
        <v>0</v>
      </c>
      <c r="O51" s="113">
        <f>SUM(K51*20)</f>
        <v>0</v>
      </c>
      <c r="P51" s="278">
        <f>SUM(J51*4)</f>
        <v>0</v>
      </c>
      <c r="Q51" s="279">
        <f>SUM(K51*4)</f>
        <v>0</v>
      </c>
      <c r="R51" s="274">
        <f>SUM(J51*2)</f>
        <v>0</v>
      </c>
      <c r="S51" s="275">
        <f>SUM(K51*2)</f>
        <v>0</v>
      </c>
      <c r="T51" s="290"/>
      <c r="U51" s="291"/>
      <c r="V51" s="282"/>
      <c r="W51" s="283"/>
      <c r="X51" s="248">
        <v>0</v>
      </c>
      <c r="Y51" s="248">
        <v>0</v>
      </c>
    </row>
    <row r="52" spans="1:25" ht="15.75" customHeight="1">
      <c r="A52" s="11"/>
      <c r="B52" s="12" t="s">
        <v>109</v>
      </c>
      <c r="C52" s="12"/>
      <c r="D52" s="460"/>
      <c r="E52" s="13" t="s">
        <v>24</v>
      </c>
      <c r="F52" s="466"/>
      <c r="G52" s="14" t="s">
        <v>24</v>
      </c>
      <c r="H52" s="471"/>
      <c r="I52" s="46" t="s">
        <v>44</v>
      </c>
      <c r="J52" s="109">
        <f t="shared" si="9"/>
        <v>0</v>
      </c>
      <c r="K52" s="218">
        <f t="shared" si="10"/>
        <v>0</v>
      </c>
      <c r="L52" s="110">
        <f>SUM(J52*60)</f>
        <v>0</v>
      </c>
      <c r="M52" s="111">
        <f>SUM(K52*60)</f>
        <v>0</v>
      </c>
      <c r="N52" s="117"/>
      <c r="O52" s="166"/>
      <c r="P52" s="274">
        <f>SUM(J52*50)</f>
        <v>0</v>
      </c>
      <c r="Q52" s="275">
        <f>SUM(K52*50)</f>
        <v>0</v>
      </c>
      <c r="R52" s="274">
        <f>SUM(J52*2)</f>
        <v>0</v>
      </c>
      <c r="S52" s="275">
        <f>SUM(K52*2)</f>
        <v>0</v>
      </c>
      <c r="T52" s="274">
        <f>SUM(J52*5)</f>
        <v>0</v>
      </c>
      <c r="U52" s="275">
        <f>SUM(K52*5)</f>
        <v>0</v>
      </c>
      <c r="V52" s="278">
        <f>SUM(J52*0.63)</f>
        <v>0</v>
      </c>
      <c r="W52" s="279">
        <f>SUM(K52*0.63)</f>
        <v>0</v>
      </c>
      <c r="X52" s="248">
        <v>0.63</v>
      </c>
      <c r="Y52" s="248">
        <v>0.63</v>
      </c>
    </row>
    <row r="53" spans="1:25" ht="15.75" customHeight="1">
      <c r="A53" s="15"/>
      <c r="B53" s="22" t="s">
        <v>116</v>
      </c>
      <c r="C53" s="23"/>
      <c r="D53" s="460"/>
      <c r="E53" s="51" t="s">
        <v>24</v>
      </c>
      <c r="F53" s="466"/>
      <c r="G53" s="43" t="s">
        <v>24</v>
      </c>
      <c r="H53" s="471"/>
      <c r="I53" s="457" t="s">
        <v>44</v>
      </c>
      <c r="J53" s="115">
        <f t="shared" si="9"/>
        <v>0</v>
      </c>
      <c r="K53" s="220">
        <f t="shared" si="10"/>
        <v>0</v>
      </c>
      <c r="L53" s="116">
        <f>SUM(J53*20)</f>
        <v>0</v>
      </c>
      <c r="M53" s="127">
        <f>SUM(K53*20)</f>
        <v>0</v>
      </c>
      <c r="N53" s="116">
        <f>SUM(J53*90)</f>
        <v>0</v>
      </c>
      <c r="O53" s="127">
        <f>SUM(K53*90)</f>
        <v>0</v>
      </c>
      <c r="P53" s="284">
        <f>SUM(J53*15)</f>
        <v>0</v>
      </c>
      <c r="Q53" s="285">
        <f>SUM(K53*15)</f>
        <v>0</v>
      </c>
      <c r="R53" s="284">
        <f>SUM(J53*4)</f>
        <v>0</v>
      </c>
      <c r="S53" s="285">
        <f>SUM(K53*4)</f>
        <v>0</v>
      </c>
      <c r="T53" s="311"/>
      <c r="U53" s="312"/>
      <c r="V53" s="284">
        <f>SUM(J53*0.9)</f>
        <v>0</v>
      </c>
      <c r="W53" s="285">
        <f>SUM(K53*0.9)</f>
        <v>0</v>
      </c>
      <c r="X53" s="248">
        <v>0.9</v>
      </c>
      <c r="Y53" s="248">
        <v>0.9</v>
      </c>
    </row>
    <row r="54" spans="1:25" ht="14.25" customHeight="1">
      <c r="A54" s="406" t="s">
        <v>46</v>
      </c>
      <c r="B54" s="407"/>
      <c r="C54" s="408"/>
      <c r="D54" s="461"/>
      <c r="E54" s="27"/>
      <c r="F54" s="467"/>
      <c r="G54" s="28"/>
      <c r="H54" s="472"/>
      <c r="I54" s="28"/>
      <c r="J54" s="114"/>
      <c r="K54" s="221"/>
      <c r="L54" s="190"/>
      <c r="M54" s="191"/>
      <c r="N54" s="190"/>
      <c r="O54" s="191"/>
      <c r="P54" s="286"/>
      <c r="Q54" s="289"/>
      <c r="R54" s="286"/>
      <c r="S54" s="287"/>
      <c r="T54" s="286"/>
      <c r="U54" s="287"/>
      <c r="V54" s="288"/>
      <c r="W54" s="289"/>
      <c r="X54" s="453">
        <v>0.54</v>
      </c>
      <c r="Y54" s="453">
        <v>0.54</v>
      </c>
    </row>
    <row r="55" spans="1:25" ht="15.75" customHeight="1">
      <c r="A55" s="11"/>
      <c r="B55" s="48" t="s">
        <v>5</v>
      </c>
      <c r="C55" s="12"/>
      <c r="D55" s="460"/>
      <c r="E55" s="13" t="s">
        <v>24</v>
      </c>
      <c r="F55" s="466"/>
      <c r="G55" s="14" t="s">
        <v>24</v>
      </c>
      <c r="H55" s="471"/>
      <c r="I55" s="14" t="s">
        <v>28</v>
      </c>
      <c r="J55" s="109">
        <f aca="true" t="shared" si="11" ref="J55:J61">SUM(D55*H55)</f>
        <v>0</v>
      </c>
      <c r="K55" s="218">
        <f aca="true" t="shared" si="12" ref="K55:K61">SUM(F55*H55)</f>
        <v>0</v>
      </c>
      <c r="L55" s="110">
        <f>SUM(J55*2)</f>
        <v>0</v>
      </c>
      <c r="M55" s="111">
        <f>SUM(K55*2)</f>
        <v>0</v>
      </c>
      <c r="N55" s="117"/>
      <c r="O55" s="166"/>
      <c r="P55" s="274">
        <f>SUM(J55*0.2)</f>
        <v>0</v>
      </c>
      <c r="Q55" s="275">
        <f>SUM(K55*0.2)</f>
        <v>0</v>
      </c>
      <c r="R55" s="274">
        <f>SUM(J55*0.4)</f>
        <v>0</v>
      </c>
      <c r="S55" s="275">
        <f>SUM(K55*0.4)</f>
        <v>0</v>
      </c>
      <c r="T55" s="274">
        <f>SUM(J55*2)</f>
        <v>0</v>
      </c>
      <c r="U55" s="275">
        <f>SUM(K55*2)</f>
        <v>0</v>
      </c>
      <c r="V55" s="274">
        <f>SUM(J55*0.54)</f>
        <v>0</v>
      </c>
      <c r="W55" s="275">
        <f>SUM(K55*0.54)</f>
        <v>0</v>
      </c>
      <c r="X55" s="454"/>
      <c r="Y55" s="454"/>
    </row>
    <row r="56" spans="1:25" ht="15.75" customHeight="1">
      <c r="A56" s="11"/>
      <c r="B56" s="49" t="s">
        <v>79</v>
      </c>
      <c r="C56" s="12"/>
      <c r="D56" s="460"/>
      <c r="E56" s="13" t="s">
        <v>24</v>
      </c>
      <c r="F56" s="466"/>
      <c r="G56" s="14" t="s">
        <v>24</v>
      </c>
      <c r="H56" s="471"/>
      <c r="I56" s="14" t="s">
        <v>26</v>
      </c>
      <c r="J56" s="109">
        <f t="shared" si="11"/>
        <v>0</v>
      </c>
      <c r="K56" s="218">
        <f t="shared" si="12"/>
        <v>0</v>
      </c>
      <c r="L56" s="112">
        <f>SUM(J56*1)</f>
        <v>0</v>
      </c>
      <c r="M56" s="113">
        <f>SUM(K56*1)</f>
        <v>0</v>
      </c>
      <c r="N56" s="119"/>
      <c r="O56" s="123"/>
      <c r="P56" s="278">
        <f>SUM(J56*0.2)</f>
        <v>0</v>
      </c>
      <c r="Q56" s="279">
        <f>SUM(K56*0.2)</f>
        <v>0</v>
      </c>
      <c r="R56" s="274">
        <f>SUM(J56*0.4)</f>
        <v>0</v>
      </c>
      <c r="S56" s="275">
        <f>SUM(K56*0.4)</f>
        <v>0</v>
      </c>
      <c r="T56" s="274">
        <f>SUM(J56*1)</f>
        <v>0</v>
      </c>
      <c r="U56" s="275">
        <f>SUM(K56*1)</f>
        <v>0</v>
      </c>
      <c r="V56" s="278">
        <f>SUM(J56*0.36)</f>
        <v>0</v>
      </c>
      <c r="W56" s="279">
        <f>SUM(K56*0.36)</f>
        <v>0</v>
      </c>
      <c r="X56" s="248">
        <v>0.36</v>
      </c>
      <c r="Y56" s="248">
        <v>0.36</v>
      </c>
    </row>
    <row r="57" spans="1:25" ht="15.75" customHeight="1">
      <c r="A57" s="11"/>
      <c r="B57" s="49" t="s">
        <v>78</v>
      </c>
      <c r="C57" s="12"/>
      <c r="D57" s="460"/>
      <c r="E57" s="13" t="s">
        <v>24</v>
      </c>
      <c r="F57" s="466"/>
      <c r="G57" s="14" t="s">
        <v>24</v>
      </c>
      <c r="H57" s="471"/>
      <c r="I57" s="14" t="s">
        <v>26</v>
      </c>
      <c r="J57" s="109">
        <f t="shared" si="11"/>
        <v>0</v>
      </c>
      <c r="K57" s="218">
        <f t="shared" si="12"/>
        <v>0</v>
      </c>
      <c r="L57" s="112">
        <f>SUM(J57*1)</f>
        <v>0</v>
      </c>
      <c r="M57" s="113">
        <f>SUM(K57*1)</f>
        <v>0</v>
      </c>
      <c r="N57" s="119"/>
      <c r="O57" s="123"/>
      <c r="P57" s="278">
        <f>SUM(J57*0.1)</f>
        <v>0</v>
      </c>
      <c r="Q57" s="279">
        <f>SUM(K57*0.1)</f>
        <v>0</v>
      </c>
      <c r="R57" s="274">
        <f>SUM(J57*0.3)</f>
        <v>0</v>
      </c>
      <c r="S57" s="275">
        <f>SUM(K57*0.3)</f>
        <v>0</v>
      </c>
      <c r="T57" s="274">
        <f>SUM(J57*0.3)</f>
        <v>0</v>
      </c>
      <c r="U57" s="275">
        <f>SUM(K57*0.3)</f>
        <v>0</v>
      </c>
      <c r="V57" s="278">
        <f>SUM(J57*0.15)</f>
        <v>0</v>
      </c>
      <c r="W57" s="279">
        <f>SUM(K57*0.15)</f>
        <v>0</v>
      </c>
      <c r="X57" s="248">
        <v>0.15</v>
      </c>
      <c r="Y57" s="248">
        <v>0.15</v>
      </c>
    </row>
    <row r="58" spans="1:25" ht="15.75" customHeight="1">
      <c r="A58" s="15"/>
      <c r="B58" s="177" t="s">
        <v>114</v>
      </c>
      <c r="C58" s="16"/>
      <c r="D58" s="460"/>
      <c r="E58" s="13" t="s">
        <v>24</v>
      </c>
      <c r="F58" s="466"/>
      <c r="G58" s="14" t="s">
        <v>24</v>
      </c>
      <c r="H58" s="471"/>
      <c r="I58" s="17" t="s">
        <v>28</v>
      </c>
      <c r="J58" s="109">
        <f>SUM(D58*H58)</f>
        <v>0</v>
      </c>
      <c r="K58" s="218">
        <f>SUM(F58*H58)</f>
        <v>0</v>
      </c>
      <c r="L58" s="112">
        <f>SUM(J58*10)</f>
        <v>0</v>
      </c>
      <c r="M58" s="113">
        <f>SUM(K58*10)</f>
        <v>0</v>
      </c>
      <c r="N58" s="119"/>
      <c r="O58" s="123"/>
      <c r="P58" s="278">
        <f>SUM(J58*1)</f>
        <v>0</v>
      </c>
      <c r="Q58" s="279">
        <f>SUM(K58*1)</f>
        <v>0</v>
      </c>
      <c r="R58" s="274">
        <f>SUM(J58*1)</f>
        <v>0</v>
      </c>
      <c r="S58" s="275">
        <f>SUM(K58*1)</f>
        <v>0</v>
      </c>
      <c r="T58" s="274">
        <f>SUM(J58*0.3)</f>
        <v>0</v>
      </c>
      <c r="U58" s="275">
        <f>SUM(K58*0.3)</f>
        <v>0</v>
      </c>
      <c r="V58" s="278">
        <f>SUM(J58*2.84)</f>
        <v>0</v>
      </c>
      <c r="W58" s="279">
        <f>SUM(K58*2.84)</f>
        <v>0</v>
      </c>
      <c r="X58" s="248">
        <v>2.84</v>
      </c>
      <c r="Y58" s="248">
        <v>2.84</v>
      </c>
    </row>
    <row r="59" spans="1:25" ht="15.75" customHeight="1">
      <c r="A59" s="15"/>
      <c r="B59" s="32" t="s">
        <v>115</v>
      </c>
      <c r="C59" s="16"/>
      <c r="D59" s="460"/>
      <c r="E59" s="13" t="s">
        <v>24</v>
      </c>
      <c r="F59" s="466"/>
      <c r="G59" s="14" t="s">
        <v>24</v>
      </c>
      <c r="H59" s="471"/>
      <c r="I59" s="17" t="s">
        <v>28</v>
      </c>
      <c r="J59" s="109">
        <f>SUM(D59*H59)</f>
        <v>0</v>
      </c>
      <c r="K59" s="218">
        <f>SUM(F59*H59)</f>
        <v>0</v>
      </c>
      <c r="L59" s="175"/>
      <c r="M59" s="176"/>
      <c r="N59" s="175"/>
      <c r="O59" s="176"/>
      <c r="P59" s="282"/>
      <c r="Q59" s="283"/>
      <c r="R59" s="290"/>
      <c r="S59" s="291"/>
      <c r="T59" s="274">
        <f>SUM(J59*6.5)</f>
        <v>0</v>
      </c>
      <c r="U59" s="275">
        <f>SUM(K59*6.5)</f>
        <v>0</v>
      </c>
      <c r="V59" s="282"/>
      <c r="W59" s="283"/>
      <c r="X59" s="248" t="s">
        <v>152</v>
      </c>
      <c r="Y59" s="248" t="s">
        <v>152</v>
      </c>
    </row>
    <row r="60" spans="1:25" ht="15.75" customHeight="1">
      <c r="A60" s="31"/>
      <c r="B60" s="32" t="s">
        <v>6</v>
      </c>
      <c r="C60" s="16"/>
      <c r="D60" s="460"/>
      <c r="E60" s="13" t="s">
        <v>24</v>
      </c>
      <c r="F60" s="466"/>
      <c r="G60" s="14" t="s">
        <v>24</v>
      </c>
      <c r="H60" s="471"/>
      <c r="I60" s="14" t="s">
        <v>29</v>
      </c>
      <c r="J60" s="109">
        <f t="shared" si="11"/>
        <v>0</v>
      </c>
      <c r="K60" s="218">
        <f t="shared" si="12"/>
        <v>0</v>
      </c>
      <c r="L60" s="112">
        <f>SUM(J60*0.7)</f>
        <v>0</v>
      </c>
      <c r="M60" s="113">
        <f>SUM(K60*0.7)</f>
        <v>0</v>
      </c>
      <c r="N60" s="119"/>
      <c r="O60" s="123"/>
      <c r="P60" s="278">
        <f>SUM(J60*0.1)</f>
        <v>0</v>
      </c>
      <c r="Q60" s="279">
        <f>SUM(K60*0.1)</f>
        <v>0</v>
      </c>
      <c r="R60" s="274">
        <f>SUM(J60*0.2)</f>
        <v>0</v>
      </c>
      <c r="S60" s="275">
        <f>SUM(K60*0.2)</f>
        <v>0</v>
      </c>
      <c r="T60" s="274">
        <f>SUM(J60*4)</f>
        <v>0</v>
      </c>
      <c r="U60" s="275">
        <f>SUM(K60*4)</f>
        <v>0</v>
      </c>
      <c r="V60" s="278">
        <f>SUM(J60*0.11)</f>
        <v>0</v>
      </c>
      <c r="W60" s="279">
        <f>SUM(K60*0.11)</f>
        <v>0</v>
      </c>
      <c r="X60" s="248">
        <v>0.11</v>
      </c>
      <c r="Y60" s="248">
        <v>0.11</v>
      </c>
    </row>
    <row r="61" spans="1:25" ht="15.75" customHeight="1">
      <c r="A61" s="33"/>
      <c r="B61" s="22" t="s">
        <v>104</v>
      </c>
      <c r="C61" s="23"/>
      <c r="D61" s="460"/>
      <c r="E61" s="51" t="s">
        <v>24</v>
      </c>
      <c r="F61" s="468"/>
      <c r="G61" s="43" t="s">
        <v>24</v>
      </c>
      <c r="H61" s="471"/>
      <c r="I61" s="25" t="s">
        <v>28</v>
      </c>
      <c r="J61" s="115">
        <f t="shared" si="11"/>
        <v>0</v>
      </c>
      <c r="K61" s="220">
        <f t="shared" si="12"/>
        <v>0</v>
      </c>
      <c r="L61" s="116">
        <f>SUM(J61*0.5)</f>
        <v>0</v>
      </c>
      <c r="M61" s="127">
        <f>SUM(K61*0.5)</f>
        <v>0</v>
      </c>
      <c r="N61" s="118"/>
      <c r="O61" s="163"/>
      <c r="P61" s="311"/>
      <c r="Q61" s="312"/>
      <c r="R61" s="311"/>
      <c r="S61" s="312"/>
      <c r="T61" s="284">
        <f>SUM(J61*3)</f>
        <v>0</v>
      </c>
      <c r="U61" s="285">
        <f>SUM(K61*3)</f>
        <v>0</v>
      </c>
      <c r="V61" s="284">
        <f>SUM(J61*0.11)</f>
        <v>0</v>
      </c>
      <c r="W61" s="285">
        <f>SUM(K61*0.11)</f>
        <v>0</v>
      </c>
      <c r="X61" s="248">
        <v>0.11</v>
      </c>
      <c r="Y61" s="248">
        <v>0.11</v>
      </c>
    </row>
    <row r="62" spans="1:25" ht="14.25" customHeight="1">
      <c r="A62" s="406" t="s">
        <v>47</v>
      </c>
      <c r="B62" s="407"/>
      <c r="C62" s="408"/>
      <c r="D62" s="461"/>
      <c r="E62" s="27"/>
      <c r="F62" s="467"/>
      <c r="G62" s="28"/>
      <c r="H62" s="472"/>
      <c r="I62" s="50"/>
      <c r="J62" s="114"/>
      <c r="K62" s="221"/>
      <c r="L62" s="190"/>
      <c r="M62" s="191"/>
      <c r="N62" s="190"/>
      <c r="O62" s="191"/>
      <c r="P62" s="286"/>
      <c r="Q62" s="287"/>
      <c r="R62" s="286"/>
      <c r="S62" s="287"/>
      <c r="T62" s="286"/>
      <c r="U62" s="287"/>
      <c r="V62" s="288"/>
      <c r="W62" s="289"/>
      <c r="X62" s="453">
        <v>0</v>
      </c>
      <c r="Y62" s="453">
        <v>0</v>
      </c>
    </row>
    <row r="63" spans="1:25" ht="15.75" customHeight="1">
      <c r="A63" s="11"/>
      <c r="B63" s="30" t="s">
        <v>108</v>
      </c>
      <c r="C63" s="12"/>
      <c r="D63" s="460"/>
      <c r="E63" s="13" t="s">
        <v>24</v>
      </c>
      <c r="F63" s="466"/>
      <c r="G63" s="14" t="s">
        <v>24</v>
      </c>
      <c r="H63" s="471"/>
      <c r="I63" s="46" t="s">
        <v>44</v>
      </c>
      <c r="J63" s="109"/>
      <c r="K63" s="218"/>
      <c r="L63" s="110"/>
      <c r="M63" s="111"/>
      <c r="N63" s="110"/>
      <c r="O63" s="111"/>
      <c r="P63" s="274"/>
      <c r="Q63" s="275"/>
      <c r="R63" s="274"/>
      <c r="S63" s="275"/>
      <c r="T63" s="274"/>
      <c r="U63" s="275"/>
      <c r="V63" s="314"/>
      <c r="W63" s="315"/>
      <c r="X63" s="454"/>
      <c r="Y63" s="454"/>
    </row>
    <row r="64" spans="1:25" ht="15.75" customHeight="1">
      <c r="A64" s="33"/>
      <c r="B64" s="22" t="s">
        <v>96</v>
      </c>
      <c r="C64" s="23" t="s">
        <v>106</v>
      </c>
      <c r="D64" s="465"/>
      <c r="E64" s="24" t="s">
        <v>24</v>
      </c>
      <c r="F64" s="470"/>
      <c r="G64" s="25" t="s">
        <v>24</v>
      </c>
      <c r="H64" s="475"/>
      <c r="I64" s="457" t="s">
        <v>97</v>
      </c>
      <c r="J64" s="115"/>
      <c r="K64" s="220"/>
      <c r="L64" s="116"/>
      <c r="M64" s="127"/>
      <c r="N64" s="116"/>
      <c r="O64" s="127"/>
      <c r="P64" s="284"/>
      <c r="Q64" s="285"/>
      <c r="R64" s="284"/>
      <c r="S64" s="285"/>
      <c r="T64" s="284"/>
      <c r="U64" s="285"/>
      <c r="V64" s="316"/>
      <c r="W64" s="317"/>
      <c r="X64" s="248">
        <v>0</v>
      </c>
      <c r="Y64" s="248">
        <v>0</v>
      </c>
    </row>
    <row r="65" spans="1:25" ht="15.75" customHeight="1">
      <c r="A65" s="77"/>
      <c r="B65" s="5"/>
      <c r="C65" s="5"/>
      <c r="D65" s="6"/>
      <c r="E65" s="170"/>
      <c r="F65" s="6"/>
      <c r="G65" s="72"/>
      <c r="H65" s="6"/>
      <c r="I65" s="171"/>
      <c r="J65" s="240"/>
      <c r="K65" s="240"/>
      <c r="L65" s="241"/>
      <c r="M65" s="241"/>
      <c r="N65" s="241"/>
      <c r="O65" s="241"/>
      <c r="P65" s="318"/>
      <c r="Q65" s="318"/>
      <c r="R65" s="318"/>
      <c r="S65" s="318"/>
      <c r="T65" s="318"/>
      <c r="U65" s="318"/>
      <c r="V65" s="318"/>
      <c r="W65" s="318"/>
      <c r="X65" s="250"/>
      <c r="Y65" s="250"/>
    </row>
    <row r="66" spans="1:25" ht="15.75" customHeight="1">
      <c r="A66" s="77"/>
      <c r="B66" s="5"/>
      <c r="C66" s="5"/>
      <c r="D66" s="6"/>
      <c r="E66" s="170"/>
      <c r="F66" s="6"/>
      <c r="G66" s="72"/>
      <c r="H66" s="6"/>
      <c r="I66" s="171"/>
      <c r="J66" s="240"/>
      <c r="K66" s="240"/>
      <c r="L66" s="241"/>
      <c r="M66" s="241"/>
      <c r="N66" s="241"/>
      <c r="O66" s="241"/>
      <c r="P66" s="318"/>
      <c r="Q66" s="318"/>
      <c r="R66" s="318"/>
      <c r="S66" s="318"/>
      <c r="T66" s="318"/>
      <c r="U66" s="318"/>
      <c r="V66" s="318"/>
      <c r="W66" s="318"/>
      <c r="X66" s="250"/>
      <c r="Y66" s="250"/>
    </row>
    <row r="67" spans="1:25" ht="15.75" customHeight="1">
      <c r="A67" s="77"/>
      <c r="B67" s="5"/>
      <c r="C67" s="5"/>
      <c r="D67" s="6"/>
      <c r="E67" s="170"/>
      <c r="F67" s="6"/>
      <c r="G67" s="72"/>
      <c r="H67" s="6"/>
      <c r="I67" s="171"/>
      <c r="J67" s="240"/>
      <c r="K67" s="240"/>
      <c r="L67" s="241"/>
      <c r="M67" s="241"/>
      <c r="N67" s="241"/>
      <c r="O67" s="241"/>
      <c r="P67" s="318"/>
      <c r="Q67" s="318"/>
      <c r="R67" s="318"/>
      <c r="S67" s="318"/>
      <c r="T67" s="318"/>
      <c r="U67" s="318"/>
      <c r="V67" s="318"/>
      <c r="W67" s="318"/>
      <c r="X67" s="250"/>
      <c r="Y67" s="250"/>
    </row>
    <row r="68" spans="1:25" ht="17.25" customHeight="1">
      <c r="A68"/>
      <c r="B68" s="397" t="s">
        <v>16</v>
      </c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254"/>
      <c r="T68" s="256"/>
      <c r="U68" s="256"/>
      <c r="V68" s="257"/>
      <c r="W68" s="258"/>
      <c r="X68" s="250"/>
      <c r="Y68" s="250"/>
    </row>
    <row r="69" spans="1:25" ht="18" customHeight="1">
      <c r="A69" s="104"/>
      <c r="B69" s="421" t="s">
        <v>17</v>
      </c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198"/>
      <c r="T69" s="256"/>
      <c r="U69" s="256"/>
      <c r="V69" s="257"/>
      <c r="W69" s="258"/>
      <c r="X69" s="250"/>
      <c r="Y69" s="250"/>
    </row>
    <row r="70" spans="2:25" s="101" customFormat="1" ht="18" customHeight="1">
      <c r="B70" s="156" t="s">
        <v>18</v>
      </c>
      <c r="C70" s="167"/>
      <c r="D70" s="101" t="s">
        <v>19</v>
      </c>
      <c r="G70" s="168"/>
      <c r="H70" s="157"/>
      <c r="I70" s="157"/>
      <c r="J70" s="157"/>
      <c r="K70" s="157"/>
      <c r="L70" s="157"/>
      <c r="M70" s="101" t="s">
        <v>69</v>
      </c>
      <c r="O70" s="157"/>
      <c r="P70" s="319"/>
      <c r="Q70" s="319"/>
      <c r="R70" s="320"/>
      <c r="S70" s="201"/>
      <c r="T70" s="201"/>
      <c r="U70" s="201"/>
      <c r="V70" s="321"/>
      <c r="W70" s="322"/>
      <c r="X70" s="251"/>
      <c r="Y70" s="251"/>
    </row>
    <row r="71" spans="4:25" ht="14.25" customHeight="1">
      <c r="D71" s="54"/>
      <c r="E71" s="54"/>
      <c r="F71" s="54"/>
      <c r="G71" s="54"/>
      <c r="H71" s="54"/>
      <c r="I71" s="54"/>
      <c r="J71" s="420" t="s">
        <v>70</v>
      </c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261"/>
      <c r="W71" s="261"/>
      <c r="X71" s="250"/>
      <c r="Y71" s="250"/>
    </row>
    <row r="72" spans="4:25" ht="15" customHeight="1">
      <c r="D72" s="4"/>
      <c r="E72" s="4"/>
      <c r="F72" s="4"/>
      <c r="G72" s="4"/>
      <c r="H72" s="75"/>
      <c r="I72" s="4"/>
      <c r="J72" s="401" t="s">
        <v>71</v>
      </c>
      <c r="K72" s="403"/>
      <c r="L72" s="399" t="s">
        <v>62</v>
      </c>
      <c r="M72" s="400"/>
      <c r="N72" s="399" t="s">
        <v>63</v>
      </c>
      <c r="O72" s="400"/>
      <c r="P72" s="398" t="s">
        <v>64</v>
      </c>
      <c r="Q72" s="396"/>
      <c r="R72" s="424" t="s">
        <v>127</v>
      </c>
      <c r="S72" s="425"/>
      <c r="T72" s="426" t="s">
        <v>75</v>
      </c>
      <c r="U72" s="427"/>
      <c r="V72" s="447" t="s">
        <v>151</v>
      </c>
      <c r="W72" s="448"/>
      <c r="X72" s="449" t="s">
        <v>151</v>
      </c>
      <c r="Y72" s="450"/>
    </row>
    <row r="73" spans="1:25" ht="15" customHeight="1">
      <c r="A73" s="55" t="s">
        <v>48</v>
      </c>
      <c r="C73" s="3"/>
      <c r="D73" s="401" t="s">
        <v>146</v>
      </c>
      <c r="E73" s="402"/>
      <c r="F73" s="402"/>
      <c r="G73" s="403"/>
      <c r="H73" s="404" t="s">
        <v>49</v>
      </c>
      <c r="I73" s="405"/>
      <c r="J73" s="103" t="s">
        <v>65</v>
      </c>
      <c r="K73" s="102" t="s">
        <v>22</v>
      </c>
      <c r="L73" s="103" t="s">
        <v>65</v>
      </c>
      <c r="M73" s="102" t="s">
        <v>22</v>
      </c>
      <c r="N73" s="103" t="s">
        <v>65</v>
      </c>
      <c r="O73" s="102" t="s">
        <v>22</v>
      </c>
      <c r="P73" s="262" t="s">
        <v>65</v>
      </c>
      <c r="Q73" s="263" t="s">
        <v>22</v>
      </c>
      <c r="R73" s="264" t="s">
        <v>65</v>
      </c>
      <c r="S73" s="265" t="s">
        <v>22</v>
      </c>
      <c r="T73" s="264" t="s">
        <v>65</v>
      </c>
      <c r="U73" s="265" t="s">
        <v>22</v>
      </c>
      <c r="V73" s="252" t="s">
        <v>65</v>
      </c>
      <c r="W73" s="252" t="s">
        <v>22</v>
      </c>
      <c r="X73" s="247" t="s">
        <v>65</v>
      </c>
      <c r="Y73" s="247" t="s">
        <v>22</v>
      </c>
    </row>
    <row r="74" spans="1:25" ht="15.75" customHeight="1">
      <c r="A74" s="406" t="s">
        <v>50</v>
      </c>
      <c r="B74" s="408"/>
      <c r="C74" s="56"/>
      <c r="D74" s="26"/>
      <c r="E74" s="10"/>
      <c r="F74" s="10"/>
      <c r="G74" s="28"/>
      <c r="H74" s="8"/>
      <c r="I74" s="28"/>
      <c r="J74" s="195"/>
      <c r="K74" s="226"/>
      <c r="L74" s="196"/>
      <c r="M74" s="231"/>
      <c r="N74" s="196"/>
      <c r="O74" s="231"/>
      <c r="P74" s="323"/>
      <c r="Q74" s="324"/>
      <c r="R74" s="325"/>
      <c r="S74" s="326"/>
      <c r="T74" s="327"/>
      <c r="U74" s="328"/>
      <c r="V74" s="329"/>
      <c r="W74" s="330"/>
      <c r="X74" s="453">
        <v>0.295</v>
      </c>
      <c r="Y74" s="453"/>
    </row>
    <row r="75" spans="1:25" ht="15.75" customHeight="1">
      <c r="A75" s="29"/>
      <c r="B75" s="12" t="s">
        <v>84</v>
      </c>
      <c r="C75" s="57" t="s">
        <v>128</v>
      </c>
      <c r="D75" s="460"/>
      <c r="E75" s="58" t="s">
        <v>34</v>
      </c>
      <c r="F75" s="58"/>
      <c r="G75" s="14"/>
      <c r="H75" s="471"/>
      <c r="I75" s="14" t="s">
        <v>34</v>
      </c>
      <c r="J75" s="129">
        <f>SUM(D75*6+H75)</f>
        <v>0</v>
      </c>
      <c r="K75" s="227"/>
      <c r="L75" s="130">
        <f>SUM(J75*3)</f>
        <v>0</v>
      </c>
      <c r="M75" s="131"/>
      <c r="N75" s="130">
        <f>SUM(J75*25)</f>
        <v>0</v>
      </c>
      <c r="O75" s="131"/>
      <c r="P75" s="331">
        <f>SUM(J75*1)</f>
        <v>0</v>
      </c>
      <c r="Q75" s="332"/>
      <c r="R75" s="331">
        <f>SUM(J75*1)</f>
        <v>0</v>
      </c>
      <c r="S75" s="333"/>
      <c r="T75" s="334"/>
      <c r="U75" s="335"/>
      <c r="V75" s="331">
        <f>SUM(J75*0.295)</f>
        <v>0</v>
      </c>
      <c r="W75" s="335"/>
      <c r="X75" s="454"/>
      <c r="Y75" s="454"/>
    </row>
    <row r="76" spans="1:25" ht="15.75" customHeight="1">
      <c r="A76" s="59"/>
      <c r="B76" s="18" t="s">
        <v>8</v>
      </c>
      <c r="C76" s="60" t="s">
        <v>90</v>
      </c>
      <c r="D76" s="460"/>
      <c r="E76" s="61" t="s">
        <v>34</v>
      </c>
      <c r="F76" s="61"/>
      <c r="G76" s="17"/>
      <c r="H76" s="471"/>
      <c r="I76" s="17" t="s">
        <v>34</v>
      </c>
      <c r="J76" s="129">
        <f aca="true" t="shared" si="13" ref="J76:J106">SUM(D76*6+H76)</f>
        <v>0</v>
      </c>
      <c r="K76" s="227"/>
      <c r="L76" s="132">
        <f>SUM(J76*7)</f>
        <v>0</v>
      </c>
      <c r="M76" s="133"/>
      <c r="N76" s="132">
        <f>SUM(J76*20)</f>
        <v>0</v>
      </c>
      <c r="O76" s="133"/>
      <c r="P76" s="336">
        <f>SUM(J76*2.5)</f>
        <v>0</v>
      </c>
      <c r="Q76" s="337"/>
      <c r="R76" s="331">
        <f>SUM(J76*3)</f>
        <v>0</v>
      </c>
      <c r="S76" s="338"/>
      <c r="T76" s="339"/>
      <c r="U76" s="293"/>
      <c r="V76" s="331">
        <f>SUM(J76*0.52)</f>
        <v>0</v>
      </c>
      <c r="W76" s="293"/>
      <c r="X76" s="248">
        <v>0.52</v>
      </c>
      <c r="Y76" s="248"/>
    </row>
    <row r="77" spans="1:25" ht="15.75" customHeight="1">
      <c r="A77" s="29"/>
      <c r="B77" s="12"/>
      <c r="C77" s="169" t="s">
        <v>129</v>
      </c>
      <c r="D77" s="460"/>
      <c r="E77" s="61" t="s">
        <v>34</v>
      </c>
      <c r="F77" s="61"/>
      <c r="G77" s="17"/>
      <c r="H77" s="471"/>
      <c r="I77" s="17" t="s">
        <v>34</v>
      </c>
      <c r="J77" s="129">
        <f t="shared" si="13"/>
        <v>0</v>
      </c>
      <c r="K77" s="227"/>
      <c r="L77" s="132">
        <f>SUM(J77*4.5)</f>
        <v>0</v>
      </c>
      <c r="M77" s="133"/>
      <c r="N77" s="132">
        <f>SUM(J77*25)</f>
        <v>0</v>
      </c>
      <c r="O77" s="133"/>
      <c r="P77" s="336">
        <f>SUM(J77*1)</f>
        <v>0</v>
      </c>
      <c r="Q77" s="337"/>
      <c r="R77" s="331">
        <f>SUM(J77*2)</f>
        <v>0</v>
      </c>
      <c r="S77" s="338"/>
      <c r="T77" s="339"/>
      <c r="U77" s="293"/>
      <c r="V77" s="331">
        <f>SUM(J77*0.78)</f>
        <v>0</v>
      </c>
      <c r="W77" s="293"/>
      <c r="X77" s="248">
        <v>0.78</v>
      </c>
      <c r="Y77" s="248"/>
    </row>
    <row r="78" spans="1:25" ht="15.75" customHeight="1">
      <c r="A78" s="31"/>
      <c r="B78" s="16" t="s">
        <v>9</v>
      </c>
      <c r="C78" s="60" t="s">
        <v>81</v>
      </c>
      <c r="D78" s="460"/>
      <c r="E78" s="58" t="s">
        <v>34</v>
      </c>
      <c r="F78" s="58"/>
      <c r="G78" s="14"/>
      <c r="H78" s="471"/>
      <c r="I78" s="14" t="s">
        <v>34</v>
      </c>
      <c r="J78" s="129">
        <f t="shared" si="13"/>
        <v>0</v>
      </c>
      <c r="K78" s="227"/>
      <c r="L78" s="132">
        <f>SUM(J78*1)</f>
        <v>0</v>
      </c>
      <c r="M78" s="133"/>
      <c r="N78" s="132">
        <f>SUM(J78*10)</f>
        <v>0</v>
      </c>
      <c r="O78" s="133"/>
      <c r="P78" s="336">
        <f>SUM(J78*0.1)</f>
        <v>0</v>
      </c>
      <c r="Q78" s="337"/>
      <c r="R78" s="331">
        <f>SUM(J78*0.1)</f>
        <v>0</v>
      </c>
      <c r="S78" s="338"/>
      <c r="T78" s="339"/>
      <c r="U78" s="293"/>
      <c r="V78" s="331">
        <f>SUM(J78*0.15)</f>
        <v>0</v>
      </c>
      <c r="W78" s="293"/>
      <c r="X78" s="248">
        <v>0.15</v>
      </c>
      <c r="Y78" s="248"/>
    </row>
    <row r="79" spans="1:25" ht="15.75" customHeight="1">
      <c r="A79" s="59"/>
      <c r="B79" s="18" t="s">
        <v>10</v>
      </c>
      <c r="C79" s="60" t="s">
        <v>11</v>
      </c>
      <c r="D79" s="460"/>
      <c r="E79" s="61" t="s">
        <v>26</v>
      </c>
      <c r="F79" s="61"/>
      <c r="G79" s="17"/>
      <c r="H79" s="471"/>
      <c r="I79" s="17" t="s">
        <v>26</v>
      </c>
      <c r="J79" s="129">
        <f t="shared" si="13"/>
        <v>0</v>
      </c>
      <c r="K79" s="227"/>
      <c r="L79" s="130">
        <f>SUM(J79*3)</f>
        <v>0</v>
      </c>
      <c r="M79" s="131"/>
      <c r="N79" s="130">
        <f>SUM(J79*10)</f>
        <v>0</v>
      </c>
      <c r="O79" s="131"/>
      <c r="P79" s="334"/>
      <c r="Q79" s="332"/>
      <c r="R79" s="334"/>
      <c r="S79" s="338"/>
      <c r="T79" s="336">
        <f>SUM(J79*0.1)</f>
        <v>0</v>
      </c>
      <c r="U79" s="293"/>
      <c r="V79" s="334"/>
      <c r="W79" s="293"/>
      <c r="X79" s="248">
        <v>0</v>
      </c>
      <c r="Y79" s="248"/>
    </row>
    <row r="80" spans="1:25" ht="15.75" customHeight="1">
      <c r="A80" s="62"/>
      <c r="B80" s="35"/>
      <c r="C80" s="60" t="s">
        <v>52</v>
      </c>
      <c r="D80" s="460"/>
      <c r="E80" s="61" t="s">
        <v>26</v>
      </c>
      <c r="F80" s="61"/>
      <c r="G80" s="17"/>
      <c r="H80" s="471"/>
      <c r="I80" s="17" t="s">
        <v>26</v>
      </c>
      <c r="J80" s="129">
        <f t="shared" si="13"/>
        <v>0</v>
      </c>
      <c r="K80" s="227"/>
      <c r="L80" s="130">
        <f>SUM(J80*7)</f>
        <v>0</v>
      </c>
      <c r="M80" s="131"/>
      <c r="N80" s="130">
        <f>SUM(J80*10)</f>
        <v>0</v>
      </c>
      <c r="O80" s="131"/>
      <c r="P80" s="334"/>
      <c r="Q80" s="332"/>
      <c r="R80" s="334"/>
      <c r="S80" s="338"/>
      <c r="T80" s="339"/>
      <c r="U80" s="293"/>
      <c r="V80" s="334"/>
      <c r="W80" s="293"/>
      <c r="X80" s="248">
        <v>0</v>
      </c>
      <c r="Y80" s="248"/>
    </row>
    <row r="81" spans="1:25" ht="15.75" customHeight="1">
      <c r="A81" s="62"/>
      <c r="B81" s="35"/>
      <c r="C81" s="60" t="s">
        <v>117</v>
      </c>
      <c r="D81" s="460"/>
      <c r="E81" s="61" t="s">
        <v>26</v>
      </c>
      <c r="F81" s="61"/>
      <c r="G81" s="17"/>
      <c r="H81" s="471"/>
      <c r="I81" s="17" t="s">
        <v>26</v>
      </c>
      <c r="J81" s="129">
        <f t="shared" si="13"/>
        <v>0</v>
      </c>
      <c r="K81" s="227"/>
      <c r="L81" s="130">
        <f>SUM(J81*35)</f>
        <v>0</v>
      </c>
      <c r="M81" s="131"/>
      <c r="N81" s="130">
        <f>SUM(J81*150)</f>
        <v>0</v>
      </c>
      <c r="O81" s="131"/>
      <c r="P81" s="336">
        <f>SUM(J81*5.5)</f>
        <v>0</v>
      </c>
      <c r="Q81" s="332"/>
      <c r="R81" s="331">
        <f>SUM(J81*10)</f>
        <v>0</v>
      </c>
      <c r="S81" s="338"/>
      <c r="T81" s="336">
        <f>SUM(J81*0.1)</f>
        <v>0</v>
      </c>
      <c r="U81" s="293"/>
      <c r="V81" s="331">
        <f>SUM(J81*14.1)</f>
        <v>0</v>
      </c>
      <c r="W81" s="293"/>
      <c r="X81" s="248">
        <v>14.1</v>
      </c>
      <c r="Y81" s="248"/>
    </row>
    <row r="82" spans="1:25" ht="15.75" customHeight="1">
      <c r="A82" s="63"/>
      <c r="B82" s="64"/>
      <c r="C82" s="60" t="s">
        <v>99</v>
      </c>
      <c r="D82" s="460"/>
      <c r="E82" s="61" t="s">
        <v>26</v>
      </c>
      <c r="F82" s="61"/>
      <c r="G82" s="17"/>
      <c r="H82" s="471"/>
      <c r="I82" s="17" t="s">
        <v>26</v>
      </c>
      <c r="J82" s="129">
        <f t="shared" si="13"/>
        <v>0</v>
      </c>
      <c r="K82" s="227"/>
      <c r="L82" s="130">
        <f>SUM(J82*2)</f>
        <v>0</v>
      </c>
      <c r="M82" s="131"/>
      <c r="N82" s="134"/>
      <c r="O82" s="131"/>
      <c r="P82" s="339"/>
      <c r="Q82" s="332"/>
      <c r="R82" s="334"/>
      <c r="S82" s="338"/>
      <c r="T82" s="339"/>
      <c r="U82" s="293"/>
      <c r="V82" s="334"/>
      <c r="W82" s="293"/>
      <c r="X82" s="248">
        <v>0</v>
      </c>
      <c r="Y82" s="248"/>
    </row>
    <row r="83" spans="1:25" ht="15.75" customHeight="1">
      <c r="A83" s="59"/>
      <c r="B83" s="18" t="s">
        <v>12</v>
      </c>
      <c r="C83" s="60" t="s">
        <v>53</v>
      </c>
      <c r="D83" s="460"/>
      <c r="E83" s="61" t="s">
        <v>26</v>
      </c>
      <c r="F83" s="61"/>
      <c r="G83" s="17"/>
      <c r="H83" s="471"/>
      <c r="I83" s="17" t="s">
        <v>26</v>
      </c>
      <c r="J83" s="129">
        <f t="shared" si="13"/>
        <v>0</v>
      </c>
      <c r="K83" s="227"/>
      <c r="L83" s="132">
        <f>SUM(J83*10)</f>
        <v>0</v>
      </c>
      <c r="M83" s="133"/>
      <c r="N83" s="134"/>
      <c r="O83" s="133"/>
      <c r="P83" s="339"/>
      <c r="Q83" s="337"/>
      <c r="R83" s="334"/>
      <c r="S83" s="338"/>
      <c r="T83" s="336">
        <f>SUM(J83*0.1)</f>
        <v>0</v>
      </c>
      <c r="U83" s="293"/>
      <c r="V83" s="334"/>
      <c r="W83" s="293"/>
      <c r="X83" s="248">
        <v>0</v>
      </c>
      <c r="Y83" s="248"/>
    </row>
    <row r="84" spans="1:25" ht="15.75" customHeight="1">
      <c r="A84" s="29"/>
      <c r="B84" s="66"/>
      <c r="C84" s="60" t="s">
        <v>118</v>
      </c>
      <c r="D84" s="460"/>
      <c r="E84" s="61" t="s">
        <v>41</v>
      </c>
      <c r="F84" s="61"/>
      <c r="G84" s="17"/>
      <c r="H84" s="471"/>
      <c r="I84" s="17" t="s">
        <v>41</v>
      </c>
      <c r="J84" s="129">
        <f t="shared" si="13"/>
        <v>0</v>
      </c>
      <c r="K84" s="227"/>
      <c r="L84" s="132">
        <f>SUM(J84*10)</f>
        <v>0</v>
      </c>
      <c r="M84" s="133"/>
      <c r="N84" s="132">
        <f>SUM(J84*10)</f>
        <v>0</v>
      </c>
      <c r="O84" s="133"/>
      <c r="P84" s="336">
        <f>SUM(J84*2)</f>
        <v>0</v>
      </c>
      <c r="Q84" s="337"/>
      <c r="R84" s="334"/>
      <c r="S84" s="338"/>
      <c r="T84" s="339"/>
      <c r="U84" s="293"/>
      <c r="V84" s="334"/>
      <c r="W84" s="293"/>
      <c r="X84" s="248">
        <v>0</v>
      </c>
      <c r="Y84" s="248"/>
    </row>
    <row r="85" spans="1:25" ht="15.75" customHeight="1">
      <c r="A85" s="67"/>
      <c r="B85" s="159" t="s">
        <v>13</v>
      </c>
      <c r="C85" s="60" t="s">
        <v>93</v>
      </c>
      <c r="D85" s="460"/>
      <c r="E85" s="58" t="s">
        <v>41</v>
      </c>
      <c r="F85" s="58"/>
      <c r="G85" s="14"/>
      <c r="H85" s="471"/>
      <c r="I85" s="14" t="s">
        <v>41</v>
      </c>
      <c r="J85" s="129">
        <f t="shared" si="13"/>
        <v>0</v>
      </c>
      <c r="K85" s="227"/>
      <c r="L85" s="132">
        <f>SUM(J85*35)</f>
        <v>0</v>
      </c>
      <c r="M85" s="133"/>
      <c r="N85" s="173">
        <f>SUM(J85*205)</f>
        <v>0</v>
      </c>
      <c r="O85" s="137"/>
      <c r="P85" s="340">
        <f>SUM(J85*10)</f>
        <v>0</v>
      </c>
      <c r="Q85" s="341"/>
      <c r="R85" s="331">
        <f>SUM(J85*1)</f>
        <v>0</v>
      </c>
      <c r="S85" s="338"/>
      <c r="T85" s="336">
        <f>SUM(J85*3)</f>
        <v>0</v>
      </c>
      <c r="U85" s="293"/>
      <c r="V85" s="331">
        <f>SUM(J85*0.05)</f>
        <v>0</v>
      </c>
      <c r="W85" s="293"/>
      <c r="X85" s="248">
        <v>0.05</v>
      </c>
      <c r="Y85" s="248"/>
    </row>
    <row r="86" spans="1:25" ht="15.75" customHeight="1">
      <c r="A86" s="65"/>
      <c r="B86" s="66"/>
      <c r="C86" s="60" t="s">
        <v>54</v>
      </c>
      <c r="D86" s="460"/>
      <c r="E86" s="61" t="s">
        <v>41</v>
      </c>
      <c r="F86" s="61"/>
      <c r="G86" s="17"/>
      <c r="H86" s="471"/>
      <c r="I86" s="17" t="s">
        <v>41</v>
      </c>
      <c r="J86" s="129">
        <f t="shared" si="13"/>
        <v>0</v>
      </c>
      <c r="K86" s="228"/>
      <c r="L86" s="132">
        <f>SUM(J86*15)</f>
        <v>0</v>
      </c>
      <c r="M86" s="158"/>
      <c r="N86" s="132">
        <f>SUM(J86*60)</f>
        <v>0</v>
      </c>
      <c r="O86" s="158"/>
      <c r="P86" s="336">
        <f>SUM(J86*3.5)</f>
        <v>0</v>
      </c>
      <c r="Q86" s="341"/>
      <c r="R86" s="331">
        <f>SUM(J86*5)</f>
        <v>0</v>
      </c>
      <c r="S86" s="338"/>
      <c r="T86" s="336">
        <f>SUM(J86*2)</f>
        <v>0</v>
      </c>
      <c r="U86" s="293"/>
      <c r="V86" s="331">
        <f>SUM(J86*3.89)</f>
        <v>0</v>
      </c>
      <c r="W86" s="293"/>
      <c r="X86" s="248">
        <v>3.89</v>
      </c>
      <c r="Y86" s="248"/>
    </row>
    <row r="87" spans="1:25" ht="15.75" customHeight="1">
      <c r="A87" s="65"/>
      <c r="B87" s="66"/>
      <c r="C87" s="60" t="s">
        <v>132</v>
      </c>
      <c r="D87" s="465"/>
      <c r="E87" s="73" t="s">
        <v>41</v>
      </c>
      <c r="F87" s="73"/>
      <c r="G87" s="20"/>
      <c r="H87" s="471"/>
      <c r="I87" s="20" t="s">
        <v>41</v>
      </c>
      <c r="J87" s="138">
        <f t="shared" si="13"/>
        <v>0</v>
      </c>
      <c r="K87" s="229"/>
      <c r="L87" s="135">
        <f>SUM(J87*3)</f>
        <v>0</v>
      </c>
      <c r="M87" s="165"/>
      <c r="N87" s="164">
        <f>SUM(J87*15)</f>
        <v>0</v>
      </c>
      <c r="O87" s="165"/>
      <c r="P87" s="342">
        <f>SUM(J87*1)</f>
        <v>0</v>
      </c>
      <c r="Q87" s="343"/>
      <c r="R87" s="342">
        <f>SUM(J87*1)</f>
        <v>0</v>
      </c>
      <c r="S87" s="344"/>
      <c r="T87" s="345">
        <f>SUM(J87*1)</f>
        <v>0</v>
      </c>
      <c r="U87" s="295"/>
      <c r="V87" s="340">
        <f>SUM(J87*0.45)</f>
        <v>0</v>
      </c>
      <c r="W87" s="295"/>
      <c r="X87" s="248">
        <v>0.45</v>
      </c>
      <c r="Y87" s="248"/>
    </row>
    <row r="88" spans="1:25" ht="15.75" customHeight="1">
      <c r="A88" s="406" t="s">
        <v>55</v>
      </c>
      <c r="B88" s="408"/>
      <c r="C88" s="56"/>
      <c r="D88" s="476"/>
      <c r="E88" s="10"/>
      <c r="F88" s="10"/>
      <c r="G88" s="28"/>
      <c r="H88" s="472"/>
      <c r="I88" s="28"/>
      <c r="J88" s="192"/>
      <c r="K88" s="230"/>
      <c r="L88" s="193"/>
      <c r="M88" s="194"/>
      <c r="N88" s="193"/>
      <c r="O88" s="194"/>
      <c r="P88" s="340"/>
      <c r="Q88" s="346"/>
      <c r="R88" s="340"/>
      <c r="S88" s="347"/>
      <c r="T88" s="348"/>
      <c r="U88" s="330"/>
      <c r="V88" s="348"/>
      <c r="W88" s="349"/>
      <c r="X88" s="453">
        <v>0.295</v>
      </c>
      <c r="Y88" s="453"/>
    </row>
    <row r="89" spans="1:25" ht="15.75" customHeight="1">
      <c r="A89" s="29"/>
      <c r="B89" s="12" t="s">
        <v>51</v>
      </c>
      <c r="C89" s="57" t="s">
        <v>128</v>
      </c>
      <c r="D89" s="460"/>
      <c r="E89" s="58" t="s">
        <v>34</v>
      </c>
      <c r="F89" s="58"/>
      <c r="G89" s="14"/>
      <c r="H89" s="471"/>
      <c r="I89" s="14" t="s">
        <v>34</v>
      </c>
      <c r="J89" s="129">
        <f t="shared" si="13"/>
        <v>0</v>
      </c>
      <c r="K89" s="227"/>
      <c r="L89" s="130">
        <f>SUM(J89*3)</f>
        <v>0</v>
      </c>
      <c r="M89" s="131"/>
      <c r="N89" s="130">
        <f>SUM(J89*25)</f>
        <v>0</v>
      </c>
      <c r="O89" s="131"/>
      <c r="P89" s="331">
        <f>SUM(J89*1)</f>
        <v>0</v>
      </c>
      <c r="Q89" s="332"/>
      <c r="R89" s="331">
        <f>SUM(J89*1)</f>
        <v>0</v>
      </c>
      <c r="S89" s="333"/>
      <c r="T89" s="334"/>
      <c r="U89" s="335"/>
      <c r="V89" s="331">
        <f>SUM(J89*0.295)</f>
        <v>0</v>
      </c>
      <c r="W89" s="335"/>
      <c r="X89" s="454"/>
      <c r="Y89" s="454"/>
    </row>
    <row r="90" spans="1:25" ht="15.75" customHeight="1">
      <c r="A90" s="59"/>
      <c r="B90" s="18" t="s">
        <v>8</v>
      </c>
      <c r="C90" s="60" t="s">
        <v>90</v>
      </c>
      <c r="D90" s="460"/>
      <c r="E90" s="61" t="s">
        <v>34</v>
      </c>
      <c r="F90" s="61"/>
      <c r="G90" s="17"/>
      <c r="H90" s="471"/>
      <c r="I90" s="17" t="s">
        <v>34</v>
      </c>
      <c r="J90" s="129">
        <f t="shared" si="13"/>
        <v>0</v>
      </c>
      <c r="K90" s="227"/>
      <c r="L90" s="132">
        <f>SUM(J90*7)</f>
        <v>0</v>
      </c>
      <c r="M90" s="133"/>
      <c r="N90" s="132">
        <f>SUM(J90*20)</f>
        <v>0</v>
      </c>
      <c r="O90" s="133"/>
      <c r="P90" s="336">
        <f>SUM(J90*2.5)</f>
        <v>0</v>
      </c>
      <c r="Q90" s="337"/>
      <c r="R90" s="331">
        <f>SUM(J90*3)</f>
        <v>0</v>
      </c>
      <c r="S90" s="338"/>
      <c r="T90" s="339"/>
      <c r="U90" s="293"/>
      <c r="V90" s="336">
        <f>SUM(J90*0.52)</f>
        <v>0</v>
      </c>
      <c r="W90" s="293"/>
      <c r="X90" s="248">
        <v>0.52</v>
      </c>
      <c r="Y90" s="248"/>
    </row>
    <row r="91" spans="1:25" ht="15.75" customHeight="1">
      <c r="A91" s="29"/>
      <c r="B91" s="12"/>
      <c r="C91" s="169" t="s">
        <v>130</v>
      </c>
      <c r="D91" s="460"/>
      <c r="E91" s="61" t="s">
        <v>34</v>
      </c>
      <c r="F91" s="61"/>
      <c r="G91" s="17"/>
      <c r="H91" s="471"/>
      <c r="I91" s="17" t="s">
        <v>34</v>
      </c>
      <c r="J91" s="129">
        <f t="shared" si="13"/>
        <v>0</v>
      </c>
      <c r="K91" s="227"/>
      <c r="L91" s="132">
        <f>SUM(J91*4.5)</f>
        <v>0</v>
      </c>
      <c r="M91" s="133"/>
      <c r="N91" s="132">
        <f>SUM(J91*25)</f>
        <v>0</v>
      </c>
      <c r="O91" s="133"/>
      <c r="P91" s="336">
        <f>SUM(J91*1)</f>
        <v>0</v>
      </c>
      <c r="Q91" s="337"/>
      <c r="R91" s="331">
        <f>SUM(J91*2)</f>
        <v>0</v>
      </c>
      <c r="S91" s="338"/>
      <c r="T91" s="339"/>
      <c r="U91" s="293"/>
      <c r="V91" s="336">
        <f>SUM(J91*0.78)</f>
        <v>0</v>
      </c>
      <c r="W91" s="293"/>
      <c r="X91" s="248">
        <v>0.78</v>
      </c>
      <c r="Y91" s="248"/>
    </row>
    <row r="92" spans="1:25" ht="15.75" customHeight="1">
      <c r="A92" s="31"/>
      <c r="B92" s="16" t="s">
        <v>9</v>
      </c>
      <c r="C92" s="60" t="s">
        <v>91</v>
      </c>
      <c r="D92" s="460"/>
      <c r="E92" s="61" t="s">
        <v>34</v>
      </c>
      <c r="F92" s="61"/>
      <c r="G92" s="17"/>
      <c r="H92" s="471"/>
      <c r="I92" s="17" t="s">
        <v>34</v>
      </c>
      <c r="J92" s="129">
        <f t="shared" si="13"/>
        <v>0</v>
      </c>
      <c r="K92" s="227"/>
      <c r="L92" s="132">
        <f>SUM(J92*1)</f>
        <v>0</v>
      </c>
      <c r="M92" s="133"/>
      <c r="N92" s="132">
        <f>SUM(J92*10)</f>
        <v>0</v>
      </c>
      <c r="O92" s="133"/>
      <c r="P92" s="336">
        <f>SUM(J92*0.1)</f>
        <v>0</v>
      </c>
      <c r="Q92" s="337"/>
      <c r="R92" s="331">
        <f>SUM(J92*0.1)</f>
        <v>0</v>
      </c>
      <c r="S92" s="338"/>
      <c r="T92" s="339"/>
      <c r="U92" s="293"/>
      <c r="V92" s="336">
        <f>SUM(J92*0.15)</f>
        <v>0</v>
      </c>
      <c r="W92" s="293"/>
      <c r="X92" s="248">
        <v>0.15</v>
      </c>
      <c r="Y92" s="248"/>
    </row>
    <row r="93" spans="1:25" ht="15.75" customHeight="1">
      <c r="A93" s="69"/>
      <c r="B93" s="458" t="s">
        <v>10</v>
      </c>
      <c r="C93" s="60" t="s">
        <v>11</v>
      </c>
      <c r="D93" s="460"/>
      <c r="E93" s="61" t="s">
        <v>26</v>
      </c>
      <c r="F93" s="61"/>
      <c r="G93" s="17"/>
      <c r="H93" s="471"/>
      <c r="I93" s="17" t="s">
        <v>26</v>
      </c>
      <c r="J93" s="129">
        <f t="shared" si="13"/>
        <v>0</v>
      </c>
      <c r="K93" s="227"/>
      <c r="L93" s="130">
        <f>SUM(J93*3)</f>
        <v>0</v>
      </c>
      <c r="M93" s="131"/>
      <c r="N93" s="130">
        <f>SUM(J93*10)</f>
        <v>0</v>
      </c>
      <c r="O93" s="131"/>
      <c r="P93" s="334"/>
      <c r="Q93" s="332"/>
      <c r="R93" s="334"/>
      <c r="S93" s="338"/>
      <c r="T93" s="336">
        <f>SUM(J93*0.1)</f>
        <v>0</v>
      </c>
      <c r="U93" s="293"/>
      <c r="V93" s="339"/>
      <c r="W93" s="293"/>
      <c r="X93" s="248">
        <v>0</v>
      </c>
      <c r="Y93" s="248"/>
    </row>
    <row r="94" spans="1:25" ht="15.75" customHeight="1">
      <c r="A94" s="70"/>
      <c r="B94" s="1"/>
      <c r="C94" s="60" t="s">
        <v>52</v>
      </c>
      <c r="D94" s="460"/>
      <c r="E94" s="61" t="s">
        <v>26</v>
      </c>
      <c r="F94" s="61"/>
      <c r="G94" s="17"/>
      <c r="H94" s="471"/>
      <c r="I94" s="17" t="s">
        <v>26</v>
      </c>
      <c r="J94" s="129">
        <f t="shared" si="13"/>
        <v>0</v>
      </c>
      <c r="K94" s="227"/>
      <c r="L94" s="130">
        <f>SUM(J94*7)</f>
        <v>0</v>
      </c>
      <c r="M94" s="131"/>
      <c r="N94" s="130">
        <f>SUM(J94*10)</f>
        <v>0</v>
      </c>
      <c r="O94" s="131"/>
      <c r="P94" s="334"/>
      <c r="Q94" s="332"/>
      <c r="R94" s="334"/>
      <c r="S94" s="338"/>
      <c r="T94" s="339"/>
      <c r="U94" s="293"/>
      <c r="V94" s="339"/>
      <c r="W94" s="293"/>
      <c r="X94" s="248">
        <v>0</v>
      </c>
      <c r="Y94" s="248"/>
    </row>
    <row r="95" spans="1:25" ht="15.75" customHeight="1">
      <c r="A95" s="70"/>
      <c r="B95" s="1"/>
      <c r="C95" s="60" t="s">
        <v>117</v>
      </c>
      <c r="D95" s="460"/>
      <c r="E95" s="61" t="s">
        <v>26</v>
      </c>
      <c r="F95" s="61"/>
      <c r="G95" s="17"/>
      <c r="H95" s="471"/>
      <c r="I95" s="17" t="s">
        <v>26</v>
      </c>
      <c r="J95" s="129">
        <f t="shared" si="13"/>
        <v>0</v>
      </c>
      <c r="K95" s="227"/>
      <c r="L95" s="130">
        <f>SUM(J95*35)</f>
        <v>0</v>
      </c>
      <c r="M95" s="131"/>
      <c r="N95" s="130">
        <f>SUM(J95*150)</f>
        <v>0</v>
      </c>
      <c r="O95" s="131"/>
      <c r="P95" s="336">
        <f>SUM(J95*5.5)</f>
        <v>0</v>
      </c>
      <c r="Q95" s="332"/>
      <c r="R95" s="331">
        <f>SUM(J95*10)</f>
        <v>0</v>
      </c>
      <c r="S95" s="338"/>
      <c r="T95" s="336">
        <f>SUM(J95*0.1)</f>
        <v>0</v>
      </c>
      <c r="U95" s="293"/>
      <c r="V95" s="336">
        <f>SUM(J95*14.1)</f>
        <v>0</v>
      </c>
      <c r="W95" s="293"/>
      <c r="X95" s="248">
        <v>14.1</v>
      </c>
      <c r="Y95" s="248"/>
    </row>
    <row r="96" spans="1:25" ht="15.75" customHeight="1">
      <c r="A96" s="70"/>
      <c r="B96" s="459"/>
      <c r="C96" s="60" t="s">
        <v>100</v>
      </c>
      <c r="D96" s="460"/>
      <c r="E96" s="61" t="s">
        <v>26</v>
      </c>
      <c r="F96" s="61"/>
      <c r="G96" s="17"/>
      <c r="H96" s="471"/>
      <c r="I96" s="17" t="s">
        <v>26</v>
      </c>
      <c r="J96" s="129">
        <f t="shared" si="13"/>
        <v>0</v>
      </c>
      <c r="K96" s="227"/>
      <c r="L96" s="130">
        <f>SUM(J96*2)</f>
        <v>0</v>
      </c>
      <c r="M96" s="131"/>
      <c r="N96" s="134"/>
      <c r="O96" s="131"/>
      <c r="P96" s="339"/>
      <c r="Q96" s="332"/>
      <c r="R96" s="334"/>
      <c r="S96" s="338"/>
      <c r="T96" s="339"/>
      <c r="U96" s="293"/>
      <c r="V96" s="339"/>
      <c r="W96" s="293"/>
      <c r="X96" s="248">
        <v>0</v>
      </c>
      <c r="Y96" s="248"/>
    </row>
    <row r="97" spans="1:25" ht="15.75" customHeight="1">
      <c r="A97" s="59"/>
      <c r="B97" s="18" t="s">
        <v>12</v>
      </c>
      <c r="C97" s="60" t="s">
        <v>53</v>
      </c>
      <c r="D97" s="460"/>
      <c r="E97" s="61" t="s">
        <v>26</v>
      </c>
      <c r="F97" s="61"/>
      <c r="G97" s="17"/>
      <c r="H97" s="471"/>
      <c r="I97" s="17" t="s">
        <v>26</v>
      </c>
      <c r="J97" s="129">
        <f t="shared" si="13"/>
        <v>0</v>
      </c>
      <c r="K97" s="227"/>
      <c r="L97" s="132">
        <f>SUM(J97*10)</f>
        <v>0</v>
      </c>
      <c r="M97" s="133"/>
      <c r="N97" s="134"/>
      <c r="O97" s="133"/>
      <c r="P97" s="339"/>
      <c r="Q97" s="337"/>
      <c r="R97" s="334"/>
      <c r="S97" s="338"/>
      <c r="T97" s="336">
        <f>SUM(J97*0.1)</f>
        <v>0</v>
      </c>
      <c r="U97" s="293"/>
      <c r="V97" s="339"/>
      <c r="W97" s="293"/>
      <c r="X97" s="248">
        <v>0</v>
      </c>
      <c r="Y97" s="248"/>
    </row>
    <row r="98" spans="1:25" ht="15.75" customHeight="1">
      <c r="A98" s="62"/>
      <c r="B98" s="66"/>
      <c r="C98" s="71" t="s">
        <v>119</v>
      </c>
      <c r="D98" s="460"/>
      <c r="E98" s="61" t="s">
        <v>41</v>
      </c>
      <c r="F98" s="61"/>
      <c r="G98" s="17"/>
      <c r="H98" s="471"/>
      <c r="I98" s="17" t="s">
        <v>41</v>
      </c>
      <c r="J98" s="129">
        <f t="shared" si="13"/>
        <v>0</v>
      </c>
      <c r="K98" s="227"/>
      <c r="L98" s="132">
        <f>SUM(J98*10)</f>
        <v>0</v>
      </c>
      <c r="M98" s="133"/>
      <c r="N98" s="132">
        <f>SUM(J98*10)</f>
        <v>0</v>
      </c>
      <c r="O98" s="133"/>
      <c r="P98" s="336">
        <f>SUM(J98*2)</f>
        <v>0</v>
      </c>
      <c r="Q98" s="337"/>
      <c r="R98" s="334"/>
      <c r="S98" s="338"/>
      <c r="T98" s="339"/>
      <c r="U98" s="293"/>
      <c r="V98" s="339"/>
      <c r="W98" s="293"/>
      <c r="X98" s="248">
        <v>0</v>
      </c>
      <c r="Y98" s="248"/>
    </row>
    <row r="99" spans="1:25" ht="15.75" customHeight="1">
      <c r="A99" s="62"/>
      <c r="B99" s="66"/>
      <c r="C99" s="71" t="s">
        <v>56</v>
      </c>
      <c r="D99" s="460"/>
      <c r="E99" s="61" t="s">
        <v>41</v>
      </c>
      <c r="F99" s="61"/>
      <c r="G99" s="17"/>
      <c r="H99" s="471"/>
      <c r="I99" s="17" t="s">
        <v>41</v>
      </c>
      <c r="J99" s="129">
        <f t="shared" si="13"/>
        <v>0</v>
      </c>
      <c r="K99" s="228"/>
      <c r="L99" s="132">
        <f>SUM(J99*35)</f>
        <v>0</v>
      </c>
      <c r="M99" s="137"/>
      <c r="N99" s="173">
        <f>SUM(J99*160)</f>
        <v>0</v>
      </c>
      <c r="O99" s="137"/>
      <c r="P99" s="350"/>
      <c r="Q99" s="351"/>
      <c r="R99" s="336">
        <f>SUM(J99*3)</f>
        <v>0</v>
      </c>
      <c r="S99" s="338"/>
      <c r="T99" s="336">
        <f>SUM(J99*3)</f>
        <v>0</v>
      </c>
      <c r="U99" s="293"/>
      <c r="V99" s="339"/>
      <c r="W99" s="293"/>
      <c r="X99" s="248">
        <v>0</v>
      </c>
      <c r="Y99" s="248"/>
    </row>
    <row r="100" spans="1:25" ht="15.75" customHeight="1">
      <c r="A100" s="160"/>
      <c r="B100" s="79" t="s">
        <v>67</v>
      </c>
      <c r="C100" s="71" t="s">
        <v>105</v>
      </c>
      <c r="D100" s="460"/>
      <c r="E100" s="61" t="s">
        <v>41</v>
      </c>
      <c r="F100" s="61"/>
      <c r="G100" s="61"/>
      <c r="H100" s="481"/>
      <c r="I100" s="17" t="s">
        <v>41</v>
      </c>
      <c r="J100" s="129">
        <f t="shared" si="13"/>
        <v>0</v>
      </c>
      <c r="K100" s="228"/>
      <c r="L100" s="132">
        <f>SUM(J100*10)</f>
        <v>0</v>
      </c>
      <c r="M100" s="158"/>
      <c r="N100" s="174"/>
      <c r="O100" s="158"/>
      <c r="P100" s="331">
        <f>SUM(J100*0.2)</f>
        <v>0</v>
      </c>
      <c r="Q100" s="341"/>
      <c r="R100" s="336">
        <f>SUM(J100*0.4)</f>
        <v>0</v>
      </c>
      <c r="S100" s="338"/>
      <c r="T100" s="336">
        <f>SUM(J100*4.5)</f>
        <v>0</v>
      </c>
      <c r="U100" s="293"/>
      <c r="V100" s="336">
        <f>SUM(J100*0.67)</f>
        <v>0</v>
      </c>
      <c r="W100" s="293"/>
      <c r="X100" s="248">
        <v>0.67</v>
      </c>
      <c r="Y100" s="248"/>
    </row>
    <row r="101" spans="1:25" ht="15.75" customHeight="1">
      <c r="A101" s="39"/>
      <c r="B101" s="68"/>
      <c r="C101" s="74" t="s">
        <v>94</v>
      </c>
      <c r="D101" s="465"/>
      <c r="E101" s="72" t="s">
        <v>41</v>
      </c>
      <c r="F101" s="54"/>
      <c r="G101" s="54"/>
      <c r="H101" s="463"/>
      <c r="I101" s="36" t="s">
        <v>41</v>
      </c>
      <c r="J101" s="138">
        <f t="shared" si="13"/>
        <v>0</v>
      </c>
      <c r="K101" s="229"/>
      <c r="L101" s="164">
        <f>SUM(J101*15)</f>
        <v>0</v>
      </c>
      <c r="M101" s="165"/>
      <c r="N101" s="164">
        <f>SUM(J101*60)</f>
        <v>0</v>
      </c>
      <c r="O101" s="165"/>
      <c r="P101" s="342">
        <f>SUM(J101*3.5)</f>
        <v>0</v>
      </c>
      <c r="Q101" s="343"/>
      <c r="R101" s="342">
        <f>SUM(J101*5)</f>
        <v>0</v>
      </c>
      <c r="S101" s="344"/>
      <c r="T101" s="345">
        <f>SUM(J101*2)</f>
        <v>0</v>
      </c>
      <c r="U101" s="295"/>
      <c r="V101" s="352">
        <f>SUM(J101*3.89)</f>
        <v>0</v>
      </c>
      <c r="W101" s="295"/>
      <c r="X101" s="248">
        <v>3.89</v>
      </c>
      <c r="Y101" s="248"/>
    </row>
    <row r="102" spans="1:25" ht="15.75" customHeight="1">
      <c r="A102" s="406" t="s">
        <v>57</v>
      </c>
      <c r="B102" s="409"/>
      <c r="C102" s="76"/>
      <c r="D102" s="476"/>
      <c r="E102" s="10"/>
      <c r="F102" s="10"/>
      <c r="G102" s="28"/>
      <c r="H102" s="472"/>
      <c r="I102" s="28"/>
      <c r="J102" s="210"/>
      <c r="K102" s="230"/>
      <c r="L102" s="193"/>
      <c r="M102" s="194"/>
      <c r="N102" s="193"/>
      <c r="O102" s="194"/>
      <c r="P102" s="340"/>
      <c r="Q102" s="346"/>
      <c r="R102" s="348"/>
      <c r="S102" s="326"/>
      <c r="T102" s="327"/>
      <c r="U102" s="328"/>
      <c r="V102" s="348"/>
      <c r="W102" s="349"/>
      <c r="X102" s="453">
        <v>0.295</v>
      </c>
      <c r="Y102" s="453"/>
    </row>
    <row r="103" spans="1:25" ht="15.75" customHeight="1">
      <c r="A103" s="29"/>
      <c r="B103" s="12" t="s">
        <v>51</v>
      </c>
      <c r="C103" s="57" t="s">
        <v>128</v>
      </c>
      <c r="D103" s="460"/>
      <c r="E103" s="58" t="s">
        <v>34</v>
      </c>
      <c r="F103" s="58"/>
      <c r="G103" s="14"/>
      <c r="H103" s="471"/>
      <c r="I103" s="14" t="s">
        <v>34</v>
      </c>
      <c r="J103" s="391">
        <f>SUM(D103*(6-D16*0.5-D19*0.5-D27*0.25)+H103)</f>
        <v>0</v>
      </c>
      <c r="K103" s="227"/>
      <c r="L103" s="130">
        <f>SUM(J103*3)</f>
        <v>0</v>
      </c>
      <c r="M103" s="131"/>
      <c r="N103" s="130">
        <f>SUM(J103*25)</f>
        <v>0</v>
      </c>
      <c r="O103" s="131"/>
      <c r="P103" s="331">
        <f>SUM(J103*1)</f>
        <v>0</v>
      </c>
      <c r="Q103" s="332"/>
      <c r="R103" s="331">
        <f>SUM(J103*1)</f>
        <v>0</v>
      </c>
      <c r="S103" s="333"/>
      <c r="T103" s="334"/>
      <c r="U103" s="335"/>
      <c r="V103" s="331">
        <f>SUM(J103*0.295)</f>
        <v>0</v>
      </c>
      <c r="W103" s="335"/>
      <c r="X103" s="454"/>
      <c r="Y103" s="454"/>
    </row>
    <row r="104" spans="1:25" ht="15.75" customHeight="1">
      <c r="A104" s="29"/>
      <c r="B104" s="16" t="s">
        <v>8</v>
      </c>
      <c r="C104" s="60" t="s">
        <v>131</v>
      </c>
      <c r="D104" s="460"/>
      <c r="E104" s="58" t="s">
        <v>34</v>
      </c>
      <c r="F104" s="58"/>
      <c r="G104" s="14"/>
      <c r="H104" s="471"/>
      <c r="I104" s="14" t="s">
        <v>34</v>
      </c>
      <c r="J104" s="129">
        <f t="shared" si="13"/>
        <v>0</v>
      </c>
      <c r="K104" s="227"/>
      <c r="L104" s="132">
        <f>SUM(J104*5)</f>
        <v>0</v>
      </c>
      <c r="M104" s="133"/>
      <c r="N104" s="132">
        <f>SUM(J104*20)</f>
        <v>0</v>
      </c>
      <c r="O104" s="133"/>
      <c r="P104" s="336">
        <f>SUM(J104*2)</f>
        <v>0</v>
      </c>
      <c r="Q104" s="337"/>
      <c r="R104" s="331">
        <f>SUM(J104*2)</f>
        <v>0</v>
      </c>
      <c r="S104" s="338"/>
      <c r="T104" s="339"/>
      <c r="U104" s="293"/>
      <c r="V104" s="336">
        <f>SUM(J104*0.52)</f>
        <v>0</v>
      </c>
      <c r="W104" s="293"/>
      <c r="X104" s="248">
        <v>0.52</v>
      </c>
      <c r="Y104" s="248"/>
    </row>
    <row r="105" spans="1:25" ht="15.75" customHeight="1">
      <c r="A105" s="31"/>
      <c r="B105" s="16" t="s">
        <v>9</v>
      </c>
      <c r="C105" s="60" t="s">
        <v>58</v>
      </c>
      <c r="D105" s="460"/>
      <c r="E105" s="61" t="s">
        <v>34</v>
      </c>
      <c r="F105" s="61"/>
      <c r="G105" s="17"/>
      <c r="H105" s="471"/>
      <c r="I105" s="17" t="s">
        <v>34</v>
      </c>
      <c r="J105" s="129">
        <f t="shared" si="13"/>
        <v>0</v>
      </c>
      <c r="K105" s="227"/>
      <c r="L105" s="132">
        <f>SUM(J105*1)</f>
        <v>0</v>
      </c>
      <c r="M105" s="133"/>
      <c r="N105" s="132">
        <f>SUM(J105*10)</f>
        <v>0</v>
      </c>
      <c r="O105" s="133"/>
      <c r="P105" s="336">
        <f>SUM(J105*0.1)</f>
        <v>0</v>
      </c>
      <c r="Q105" s="337"/>
      <c r="R105" s="331">
        <f>SUM(J105*0.1)</f>
        <v>0</v>
      </c>
      <c r="S105" s="338"/>
      <c r="T105" s="339"/>
      <c r="U105" s="293"/>
      <c r="V105" s="336">
        <f>SUM(J105*0.15)</f>
        <v>0</v>
      </c>
      <c r="W105" s="293"/>
      <c r="X105" s="248">
        <v>0.15</v>
      </c>
      <c r="Y105" s="248"/>
    </row>
    <row r="106" spans="1:25" ht="15.75" customHeight="1">
      <c r="A106" s="67"/>
      <c r="B106" s="68" t="s">
        <v>67</v>
      </c>
      <c r="C106" s="161" t="s">
        <v>68</v>
      </c>
      <c r="D106" s="463"/>
      <c r="E106" s="90" t="s">
        <v>41</v>
      </c>
      <c r="F106" s="90"/>
      <c r="G106" s="91"/>
      <c r="H106" s="473"/>
      <c r="I106" s="91" t="s">
        <v>41</v>
      </c>
      <c r="J106" s="138">
        <f t="shared" si="13"/>
        <v>0</v>
      </c>
      <c r="K106" s="229"/>
      <c r="L106" s="135">
        <f>SUM(J106*10)</f>
        <v>0</v>
      </c>
      <c r="M106" s="136"/>
      <c r="N106" s="139"/>
      <c r="O106" s="136"/>
      <c r="P106" s="345">
        <f>SUM(J106*0.2)</f>
        <v>0</v>
      </c>
      <c r="Q106" s="353"/>
      <c r="R106" s="342">
        <f>SUM(J106*0.4)</f>
        <v>0</v>
      </c>
      <c r="S106" s="344"/>
      <c r="T106" s="345">
        <f>SUM(J106*4.5)</f>
        <v>0</v>
      </c>
      <c r="U106" s="295"/>
      <c r="V106" s="345">
        <f>SUM(J106*0.67)</f>
        <v>0</v>
      </c>
      <c r="W106" s="295"/>
      <c r="X106" s="248">
        <v>0.67</v>
      </c>
      <c r="Y106" s="248"/>
    </row>
    <row r="107" spans="1:25" ht="24.75" customHeight="1">
      <c r="A107" s="162" t="s">
        <v>148</v>
      </c>
      <c r="B107" s="78"/>
      <c r="C107" s="78"/>
      <c r="D107" s="7"/>
      <c r="E107" s="7"/>
      <c r="F107" s="7"/>
      <c r="G107" s="7"/>
      <c r="H107" s="7"/>
      <c r="I107" s="7"/>
      <c r="J107" s="128"/>
      <c r="K107" s="128"/>
      <c r="L107" s="419"/>
      <c r="M107" s="419"/>
      <c r="N107" s="415"/>
      <c r="O107" s="415"/>
      <c r="P107" s="416"/>
      <c r="Q107" s="416"/>
      <c r="R107" s="416"/>
      <c r="S107" s="416"/>
      <c r="T107" s="429"/>
      <c r="U107" s="430"/>
      <c r="V107" s="354"/>
      <c r="W107" s="354"/>
      <c r="X107" s="250"/>
      <c r="Y107" s="250"/>
    </row>
    <row r="108" spans="1:23" ht="15" customHeight="1">
      <c r="A108" s="70"/>
      <c r="B108" s="79" t="s">
        <v>7</v>
      </c>
      <c r="C108" s="80" t="s">
        <v>147</v>
      </c>
      <c r="D108" s="477"/>
      <c r="E108" s="72" t="s">
        <v>24</v>
      </c>
      <c r="F108"/>
      <c r="G108" s="81"/>
      <c r="H108" s="82"/>
      <c r="I108" s="83"/>
      <c r="J108" s="204"/>
      <c r="K108" s="141"/>
      <c r="L108" s="203">
        <f>D108*9.044</f>
        <v>0</v>
      </c>
      <c r="M108" s="143"/>
      <c r="N108" s="232"/>
      <c r="O108" s="233"/>
      <c r="P108" s="355">
        <f>D108*1.22</f>
        <v>0</v>
      </c>
      <c r="Q108" s="356"/>
      <c r="R108" s="355">
        <f>D108*2.388</f>
        <v>0</v>
      </c>
      <c r="S108" s="357"/>
      <c r="T108" s="358"/>
      <c r="U108" s="359"/>
      <c r="V108" s="358"/>
      <c r="W108" s="360"/>
    </row>
    <row r="109" spans="1:23" ht="15" customHeight="1">
      <c r="A109" s="65"/>
      <c r="B109" s="66"/>
      <c r="C109" s="84" t="s">
        <v>60</v>
      </c>
      <c r="D109" s="478"/>
      <c r="E109" s="61" t="s">
        <v>24</v>
      </c>
      <c r="F109" s="85"/>
      <c r="G109" s="86"/>
      <c r="H109" s="87"/>
      <c r="I109" s="88"/>
      <c r="J109" s="145"/>
      <c r="K109" s="146"/>
      <c r="L109" s="147">
        <f>D109*0</f>
        <v>0</v>
      </c>
      <c r="M109" s="148"/>
      <c r="N109" s="235"/>
      <c r="O109" s="184"/>
      <c r="P109" s="361">
        <f>D109*0</f>
        <v>0</v>
      </c>
      <c r="Q109" s="362"/>
      <c r="R109" s="361">
        <f>D109*0</f>
        <v>0</v>
      </c>
      <c r="S109" s="338"/>
      <c r="T109" s="363"/>
      <c r="U109" s="364"/>
      <c r="V109" s="363"/>
      <c r="W109" s="364"/>
    </row>
    <row r="110" spans="1:23" ht="15" customHeight="1">
      <c r="A110" s="67"/>
      <c r="B110" s="68"/>
      <c r="C110" s="89" t="s">
        <v>61</v>
      </c>
      <c r="D110" s="479"/>
      <c r="E110" s="75" t="s">
        <v>24</v>
      </c>
      <c r="F110" s="90"/>
      <c r="G110" s="91"/>
      <c r="H110" s="92"/>
      <c r="I110" s="93"/>
      <c r="J110" s="149"/>
      <c r="K110" s="150"/>
      <c r="L110" s="151">
        <f>D110*9.044</f>
        <v>0</v>
      </c>
      <c r="M110" s="152"/>
      <c r="N110" s="234"/>
      <c r="O110" s="236"/>
      <c r="P110" s="365">
        <f>D110*1.22</f>
        <v>0</v>
      </c>
      <c r="Q110" s="366"/>
      <c r="R110" s="365">
        <f>D110*2.688</f>
        <v>0</v>
      </c>
      <c r="S110" s="367"/>
      <c r="T110" s="368"/>
      <c r="U110" s="369"/>
      <c r="V110" s="370"/>
      <c r="W110" s="371"/>
    </row>
    <row r="111" spans="1:23" ht="15" customHeight="1">
      <c r="A111" s="65"/>
      <c r="B111" s="66" t="s">
        <v>14</v>
      </c>
      <c r="C111" s="94" t="s">
        <v>59</v>
      </c>
      <c r="D111" s="477"/>
      <c r="E111" s="72" t="s">
        <v>24</v>
      </c>
      <c r="G111" s="96"/>
      <c r="H111" s="82"/>
      <c r="I111" s="97"/>
      <c r="J111" s="140"/>
      <c r="K111" s="153"/>
      <c r="L111" s="142">
        <f>D111*9.044</f>
        <v>0</v>
      </c>
      <c r="M111" s="144"/>
      <c r="N111" s="237"/>
      <c r="O111" s="183"/>
      <c r="P111" s="372">
        <f>D111*1.22</f>
        <v>0</v>
      </c>
      <c r="Q111" s="373"/>
      <c r="R111" s="372">
        <f>D111*2.688</f>
        <v>0</v>
      </c>
      <c r="S111" s="333"/>
      <c r="T111" s="374"/>
      <c r="U111" s="375"/>
      <c r="V111" s="374"/>
      <c r="W111" s="376"/>
    </row>
    <row r="112" spans="1:23" ht="15" customHeight="1">
      <c r="A112" s="65"/>
      <c r="B112" s="66"/>
      <c r="C112" s="84" t="s">
        <v>60</v>
      </c>
      <c r="D112" s="478"/>
      <c r="E112" s="61" t="s">
        <v>24</v>
      </c>
      <c r="F112" s="85"/>
      <c r="G112" s="86"/>
      <c r="H112" s="87"/>
      <c r="I112" s="88"/>
      <c r="J112" s="145"/>
      <c r="K112" s="146"/>
      <c r="L112" s="147">
        <f>D112*0</f>
        <v>0</v>
      </c>
      <c r="M112" s="148"/>
      <c r="N112" s="235"/>
      <c r="O112" s="184"/>
      <c r="P112" s="361">
        <f>D112*0</f>
        <v>0</v>
      </c>
      <c r="Q112" s="362"/>
      <c r="R112" s="361">
        <f>D112*0</f>
        <v>0</v>
      </c>
      <c r="S112" s="338"/>
      <c r="T112" s="363"/>
      <c r="U112" s="364"/>
      <c r="V112" s="363"/>
      <c r="W112" s="364"/>
    </row>
    <row r="113" spans="1:23" ht="15" customHeight="1">
      <c r="A113" s="67"/>
      <c r="B113" s="68"/>
      <c r="C113" s="89" t="s">
        <v>61</v>
      </c>
      <c r="D113" s="479"/>
      <c r="E113" s="75" t="s">
        <v>24</v>
      </c>
      <c r="F113" s="90"/>
      <c r="G113" s="91"/>
      <c r="H113" s="92"/>
      <c r="I113" s="93"/>
      <c r="J113" s="149"/>
      <c r="K113" s="150"/>
      <c r="L113" s="151">
        <f>D113*9.044</f>
        <v>0</v>
      </c>
      <c r="M113" s="154"/>
      <c r="N113" s="238"/>
      <c r="O113" s="185"/>
      <c r="P113" s="365">
        <f>D113*1.22</f>
        <v>0</v>
      </c>
      <c r="Q113" s="377"/>
      <c r="R113" s="365">
        <f>D113*2.688</f>
        <v>0</v>
      </c>
      <c r="S113" s="344"/>
      <c r="T113" s="378"/>
      <c r="U113" s="379"/>
      <c r="V113" s="378"/>
      <c r="W113" s="379"/>
    </row>
    <row r="114" spans="1:23" ht="15" customHeight="1">
      <c r="A114" s="65"/>
      <c r="B114" s="66" t="s">
        <v>15</v>
      </c>
      <c r="C114" s="94" t="s">
        <v>59</v>
      </c>
      <c r="D114" s="480"/>
      <c r="E114" s="72" t="s">
        <v>24</v>
      </c>
      <c r="G114" s="96"/>
      <c r="H114" s="82"/>
      <c r="I114" s="97"/>
      <c r="J114" s="140"/>
      <c r="K114" s="153"/>
      <c r="L114" s="142">
        <f>D114*9.044</f>
        <v>0</v>
      </c>
      <c r="M114" s="144"/>
      <c r="N114" s="237"/>
      <c r="O114" s="183"/>
      <c r="P114" s="372">
        <f>D114*1.22</f>
        <v>0</v>
      </c>
      <c r="Q114" s="373"/>
      <c r="R114" s="372">
        <f>D114*2.688</f>
        <v>0</v>
      </c>
      <c r="S114" s="333"/>
      <c r="T114" s="374"/>
      <c r="U114" s="375"/>
      <c r="V114" s="374"/>
      <c r="W114" s="375"/>
    </row>
    <row r="115" spans="1:23" ht="15" customHeight="1">
      <c r="A115" s="65"/>
      <c r="B115" s="66"/>
      <c r="C115" s="84" t="s">
        <v>60</v>
      </c>
      <c r="D115" s="478"/>
      <c r="E115" s="61" t="s">
        <v>24</v>
      </c>
      <c r="F115" s="85"/>
      <c r="G115" s="86"/>
      <c r="H115" s="87"/>
      <c r="I115" s="88"/>
      <c r="J115" s="145"/>
      <c r="K115" s="146"/>
      <c r="L115" s="147">
        <f>D115*0</f>
        <v>0</v>
      </c>
      <c r="M115" s="148"/>
      <c r="N115" s="235"/>
      <c r="O115" s="184"/>
      <c r="P115" s="361">
        <f>D115*0</f>
        <v>0</v>
      </c>
      <c r="Q115" s="362"/>
      <c r="R115" s="361">
        <f>D115*0</f>
        <v>0</v>
      </c>
      <c r="S115" s="380"/>
      <c r="T115" s="381"/>
      <c r="U115" s="382"/>
      <c r="V115" s="381"/>
      <c r="W115" s="382"/>
    </row>
    <row r="116" spans="1:23" ht="15" customHeight="1">
      <c r="A116" s="67"/>
      <c r="B116" s="68"/>
      <c r="C116" s="89" t="s">
        <v>61</v>
      </c>
      <c r="D116" s="479"/>
      <c r="E116" s="75" t="s">
        <v>24</v>
      </c>
      <c r="F116" s="90"/>
      <c r="G116" s="98"/>
      <c r="H116" s="99"/>
      <c r="I116" s="100"/>
      <c r="J116" s="149"/>
      <c r="K116" s="150"/>
      <c r="L116" s="151">
        <f>D116*9.044</f>
        <v>0</v>
      </c>
      <c r="M116" s="154"/>
      <c r="N116" s="238"/>
      <c r="O116" s="185"/>
      <c r="P116" s="365">
        <f>D116*1.22</f>
        <v>0</v>
      </c>
      <c r="Q116" s="377"/>
      <c r="R116" s="365">
        <f>D116*2.688</f>
        <v>0</v>
      </c>
      <c r="S116" s="344"/>
      <c r="T116" s="378"/>
      <c r="U116" s="379"/>
      <c r="V116" s="378"/>
      <c r="W116" s="379"/>
    </row>
    <row r="117" spans="4:23" ht="15" customHeight="1">
      <c r="D117"/>
      <c r="E117"/>
      <c r="F117"/>
      <c r="G117"/>
      <c r="H117"/>
      <c r="I117"/>
      <c r="J117" s="208">
        <f>SUM(J8:J64,J75:J106,J108:J116)/7</f>
        <v>0</v>
      </c>
      <c r="K117" s="209">
        <f>SUM(K8:K64,K75:K106,K108:K116)/30</f>
        <v>0</v>
      </c>
      <c r="L117" s="208">
        <f>SUM(L8:L64,L75:L106,L108:L116)/7</f>
        <v>20</v>
      </c>
      <c r="M117" s="209">
        <f>SUM(M8:M64,M75:M106,M108:M116)/30</f>
        <v>0</v>
      </c>
      <c r="N117" s="208">
        <f>SUM(N8:N64,N75:N106,N108:N116)/7</f>
        <v>0</v>
      </c>
      <c r="O117" s="209">
        <f>SUM(O8:O64,O75:O106,O108:O116)/30</f>
        <v>0</v>
      </c>
      <c r="P117" s="383">
        <f>SUM(P8:P64,P75:P106,P108:P116)/7</f>
        <v>2</v>
      </c>
      <c r="Q117" s="384">
        <f>SUM(Q8:Q64,Q75:Q106,Q108:Q116)/30</f>
        <v>0</v>
      </c>
      <c r="R117" s="383">
        <f>SUM(R8:R64,R75:R106,R108:R116)/7</f>
        <v>0</v>
      </c>
      <c r="S117" s="384">
        <f>SUM(S8:S64,S75:S106,S108:S116)/30</f>
        <v>0</v>
      </c>
      <c r="T117" s="383">
        <f>SUM(T8:T64,T75:T106,T108:T116)/7</f>
        <v>0</v>
      </c>
      <c r="U117" s="384">
        <f>SUM(U8:U64,U75:U106,U108:U116)/30</f>
        <v>0</v>
      </c>
      <c r="V117" s="383">
        <f>SUM(V8:V64,V75:V106,V108:V116)/7</f>
        <v>0</v>
      </c>
      <c r="W117" s="384">
        <f>SUM(W8:W64,W75:W106,W108:W116)/30</f>
        <v>0</v>
      </c>
    </row>
    <row r="118" spans="4:23" ht="15" customHeight="1">
      <c r="D118"/>
      <c r="E118"/>
      <c r="F118"/>
      <c r="G118"/>
      <c r="H118"/>
      <c r="I118"/>
      <c r="J118" s="441" t="s">
        <v>71</v>
      </c>
      <c r="K118" s="442"/>
      <c r="L118" s="443" t="s">
        <v>62</v>
      </c>
      <c r="M118" s="444"/>
      <c r="N118" s="443" t="s">
        <v>63</v>
      </c>
      <c r="O118" s="444"/>
      <c r="P118" s="445" t="s">
        <v>64</v>
      </c>
      <c r="Q118" s="446"/>
      <c r="R118" s="435" t="s">
        <v>127</v>
      </c>
      <c r="S118" s="436"/>
      <c r="T118" s="437" t="s">
        <v>75</v>
      </c>
      <c r="U118" s="438"/>
      <c r="V118" s="435" t="s">
        <v>151</v>
      </c>
      <c r="W118" s="436"/>
    </row>
    <row r="119" spans="4:23" ht="30" customHeight="1">
      <c r="D119"/>
      <c r="E119"/>
      <c r="F119"/>
      <c r="G119"/>
      <c r="H119" s="206" t="s">
        <v>66</v>
      </c>
      <c r="I119" s="207"/>
      <c r="J119" s="439">
        <f>SUM(J117:K117)</f>
        <v>0</v>
      </c>
      <c r="K119" s="440"/>
      <c r="L119" s="439">
        <f>SUM(L117:M117)</f>
        <v>20</v>
      </c>
      <c r="M119" s="440"/>
      <c r="N119" s="439">
        <f>SUM(N117:O117)</f>
        <v>0</v>
      </c>
      <c r="O119" s="440"/>
      <c r="P119" s="433">
        <f>SUM(P117:Q117)</f>
        <v>2</v>
      </c>
      <c r="Q119" s="434"/>
      <c r="R119" s="433">
        <f>SUM(R117:S117)</f>
        <v>0</v>
      </c>
      <c r="S119" s="434"/>
      <c r="T119" s="433">
        <f>SUM(T117:U117)</f>
        <v>0</v>
      </c>
      <c r="U119" s="434"/>
      <c r="V119" s="433">
        <f>SUM(V117:W117)</f>
        <v>0</v>
      </c>
      <c r="W119" s="434"/>
    </row>
    <row r="120" spans="1:23" ht="15" customHeight="1">
      <c r="A120" s="239" t="s">
        <v>143</v>
      </c>
      <c r="B120" s="53" t="s">
        <v>142</v>
      </c>
      <c r="D120"/>
      <c r="E120"/>
      <c r="F120"/>
      <c r="G120"/>
      <c r="H120"/>
      <c r="I120"/>
      <c r="J120" s="205"/>
      <c r="K120" s="205"/>
      <c r="L120" s="417" t="s">
        <v>72</v>
      </c>
      <c r="M120" s="417"/>
      <c r="N120" s="418" t="s">
        <v>73</v>
      </c>
      <c r="O120" s="418"/>
      <c r="P120" s="417" t="s">
        <v>74</v>
      </c>
      <c r="Q120" s="417"/>
      <c r="R120" s="417" t="s">
        <v>139</v>
      </c>
      <c r="S120" s="417"/>
      <c r="T120" s="431" t="s">
        <v>140</v>
      </c>
      <c r="U120" s="432"/>
      <c r="V120" s="455"/>
      <c r="W120" s="455"/>
    </row>
    <row r="121" spans="2:23" ht="15" customHeight="1">
      <c r="B121" s="245">
        <v>1</v>
      </c>
      <c r="C121" s="243" t="s">
        <v>145</v>
      </c>
      <c r="D121" s="243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385"/>
      <c r="Q121" s="386"/>
      <c r="R121" s="386"/>
      <c r="S121" s="385"/>
      <c r="T121" s="413"/>
      <c r="U121" s="414"/>
      <c r="W121" s="388"/>
    </row>
    <row r="122" spans="2:23" ht="15" customHeight="1">
      <c r="B122" s="245"/>
      <c r="C122" s="244" t="s">
        <v>144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385"/>
      <c r="Q122" s="386"/>
      <c r="R122" s="386"/>
      <c r="S122" s="385"/>
      <c r="T122" s="386"/>
      <c r="U122" s="386"/>
      <c r="W122" s="388"/>
    </row>
    <row r="123" spans="2:21" ht="15" customHeight="1">
      <c r="B123" s="245">
        <v>2</v>
      </c>
      <c r="C123" s="243" t="s">
        <v>149</v>
      </c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385"/>
      <c r="Q123" s="386"/>
      <c r="R123" s="386"/>
      <c r="S123" s="385"/>
      <c r="T123" s="386"/>
      <c r="U123" s="386"/>
    </row>
    <row r="124" spans="3:21" ht="15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197"/>
      <c r="U124" s="390" t="s">
        <v>150</v>
      </c>
    </row>
    <row r="125" spans="3:16" ht="15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 s="197"/>
    </row>
    <row r="126" spans="3:16" ht="15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197"/>
    </row>
    <row r="127" spans="3:16" ht="15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197"/>
    </row>
  </sheetData>
  <sheetProtection password="CB4B" sheet="1" objects="1" scenarios="1" selectLockedCells="1"/>
  <mergeCells count="87">
    <mergeCell ref="V119:W119"/>
    <mergeCell ref="V120:W120"/>
    <mergeCell ref="V118:W118"/>
    <mergeCell ref="X88:X89"/>
    <mergeCell ref="Y88:Y89"/>
    <mergeCell ref="X102:X103"/>
    <mergeCell ref="Y102:Y103"/>
    <mergeCell ref="V72:W72"/>
    <mergeCell ref="X72:Y72"/>
    <mergeCell ref="X74:X75"/>
    <mergeCell ref="Y74:Y75"/>
    <mergeCell ref="X54:X55"/>
    <mergeCell ref="Y54:Y55"/>
    <mergeCell ref="X62:X63"/>
    <mergeCell ref="Y62:Y63"/>
    <mergeCell ref="X39:X40"/>
    <mergeCell ref="Y39:Y40"/>
    <mergeCell ref="X45:X46"/>
    <mergeCell ref="Y45:Y46"/>
    <mergeCell ref="X30:X31"/>
    <mergeCell ref="Y30:Y31"/>
    <mergeCell ref="X32:X33"/>
    <mergeCell ref="Y32:Y33"/>
    <mergeCell ref="X14:X15"/>
    <mergeCell ref="Y14:Y15"/>
    <mergeCell ref="X21:X22"/>
    <mergeCell ref="Y21:Y22"/>
    <mergeCell ref="V5:W5"/>
    <mergeCell ref="X5:Y5"/>
    <mergeCell ref="X7:X8"/>
    <mergeCell ref="Y7:Y8"/>
    <mergeCell ref="J118:K118"/>
    <mergeCell ref="L118:M118"/>
    <mergeCell ref="N118:O118"/>
    <mergeCell ref="P118:Q118"/>
    <mergeCell ref="J119:K119"/>
    <mergeCell ref="L119:M119"/>
    <mergeCell ref="N119:O119"/>
    <mergeCell ref="P119:Q119"/>
    <mergeCell ref="R120:S120"/>
    <mergeCell ref="R72:S72"/>
    <mergeCell ref="T72:U72"/>
    <mergeCell ref="R107:S107"/>
    <mergeCell ref="T107:U107"/>
    <mergeCell ref="T120:U120"/>
    <mergeCell ref="R119:S119"/>
    <mergeCell ref="T119:U119"/>
    <mergeCell ref="R118:S118"/>
    <mergeCell ref="T118:U118"/>
    <mergeCell ref="B69:Q69"/>
    <mergeCell ref="A7:C7"/>
    <mergeCell ref="A14:C14"/>
    <mergeCell ref="A32:B32"/>
    <mergeCell ref="A39:B39"/>
    <mergeCell ref="A45:C45"/>
    <mergeCell ref="A54:C54"/>
    <mergeCell ref="A62:C62"/>
    <mergeCell ref="B68:Q68"/>
    <mergeCell ref="B1:Q1"/>
    <mergeCell ref="B2:Q2"/>
    <mergeCell ref="J5:K5"/>
    <mergeCell ref="L5:M5"/>
    <mergeCell ref="N5:O5"/>
    <mergeCell ref="P5:Q5"/>
    <mergeCell ref="J4:U4"/>
    <mergeCell ref="O3:Q3"/>
    <mergeCell ref="R5:S5"/>
    <mergeCell ref="T5:U5"/>
    <mergeCell ref="J71:U71"/>
    <mergeCell ref="D73:E73"/>
    <mergeCell ref="F73:G73"/>
    <mergeCell ref="H73:I73"/>
    <mergeCell ref="J72:K72"/>
    <mergeCell ref="A74:B74"/>
    <mergeCell ref="A88:B88"/>
    <mergeCell ref="A102:B102"/>
    <mergeCell ref="L107:M107"/>
    <mergeCell ref="G3:L3"/>
    <mergeCell ref="T121:U121"/>
    <mergeCell ref="N107:O107"/>
    <mergeCell ref="P107:Q107"/>
    <mergeCell ref="L120:M120"/>
    <mergeCell ref="N120:O120"/>
    <mergeCell ref="P120:Q120"/>
    <mergeCell ref="L72:M72"/>
    <mergeCell ref="N72:O72"/>
    <mergeCell ref="P72:Q72"/>
  </mergeCells>
  <conditionalFormatting sqref="B103:C104 B89:B91 A75:B77">
    <cfRule type="expression" priority="1" dxfId="0" stopIfTrue="1">
      <formula>$A$75</formula>
    </cfRule>
  </conditionalFormatting>
  <conditionalFormatting sqref="C75:C77 C89:C91">
    <cfRule type="expression" priority="2" dxfId="0" stopIfTrue="1">
      <formula>$A$80</formula>
    </cfRule>
  </conditionalFormatting>
  <printOptions/>
  <pageMargins left="0" right="0" top="0" bottom="0" header="0" footer="0"/>
  <pageSetup fitToHeight="2" fitToWidth="1" horizontalDpi="300" verticalDpi="300" orientation="portrait" paperSize="9" scale="79" r:id="rId4"/>
  <rowBreaks count="1" manualBreakCount="1">
    <brk id="6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HA</cp:lastModifiedBy>
  <cp:lastPrinted>2005-05-25T04:31:21Z</cp:lastPrinted>
  <dcterms:created xsi:type="dcterms:W3CDTF">2002-09-15T09:40:24Z</dcterms:created>
  <dcterms:modified xsi:type="dcterms:W3CDTF">2010-07-19T09:52:50Z</dcterms:modified>
  <cp:category/>
  <cp:version/>
  <cp:contentType/>
  <cp:contentStatus/>
</cp:coreProperties>
</file>